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emf" ContentType="image/x-emf"/>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950" windowWidth="15360" windowHeight="8565" tabRatio="788" activeTab="6"/>
  </bookViews>
  <sheets>
    <sheet name="Baseline" sheetId="4" r:id="rId1"/>
    <sheet name="Opportunities" sheetId="5" r:id="rId2"/>
    <sheet name="Selected opps" sheetId="3" r:id="rId3"/>
    <sheet name="Ease-effect" sheetId="8" r:id="rId4"/>
    <sheet name="Graphs&amp;Analysis" sheetId="6" r:id="rId5"/>
    <sheet name="Export to CMPR" sheetId="1" r:id="rId6"/>
    <sheet name="References" sheetId="7" r:id="rId7"/>
  </sheets>
  <externalReferences>
    <externalReference r:id="rId8"/>
    <externalReference r:id="rId9"/>
  </externalReferences>
  <definedNames>
    <definedName name="Building_Benchmarks">References!$B$6:$I$21</definedName>
    <definedName name="Building_Type">References!$B$5:$B$21</definedName>
    <definedName name="Energy_type">'[1]Conversion assistant'!$B$13:$B$25</definedName>
    <definedName name="lst_CostUnits">'[2]Reference Data'!$B$1995:$B$1997</definedName>
    <definedName name="Opps_Selection">Opportunities!$A$12:$W$551</definedName>
    <definedName name="YN">References!$B$142:$B$143</definedName>
  </definedNames>
  <calcPr calcId="125725"/>
</workbook>
</file>

<file path=xl/calcChain.xml><?xml version="1.0" encoding="utf-8"?>
<calcChain xmlns="http://schemas.openxmlformats.org/spreadsheetml/2006/main">
  <c r="F26" i="4"/>
  <c r="G26"/>
  <c r="I26"/>
  <c r="G24"/>
  <c r="G25"/>
  <c r="G27"/>
  <c r="G28"/>
  <c r="G29"/>
  <c r="F24"/>
  <c r="F25"/>
  <c r="F27"/>
  <c r="F28"/>
  <c r="F29"/>
  <c r="G23"/>
  <c r="F23"/>
  <c r="F65"/>
  <c r="D65"/>
  <c r="C65" i="7"/>
  <c r="C66"/>
  <c r="H55" i="4"/>
  <c r="H56"/>
  <c r="H57"/>
  <c r="H58"/>
  <c r="H59"/>
  <c r="H60"/>
  <c r="H61"/>
  <c r="H65" s="1"/>
  <c r="E65"/>
  <c r="G65"/>
  <c r="G61"/>
  <c r="G63"/>
  <c r="M296" i="5"/>
  <c r="H23" i="4"/>
  <c r="D8" i="6" s="1"/>
  <c r="H29" i="4"/>
  <c r="D14" i="6"/>
  <c r="H24" i="4"/>
  <c r="D9" i="6" s="1"/>
  <c r="H25" i="4"/>
  <c r="D10" i="6" s="1"/>
  <c r="H26" i="4"/>
  <c r="D11" i="6" s="1"/>
  <c r="H27" i="4"/>
  <c r="D12" i="6" s="1"/>
  <c r="H28" i="4"/>
  <c r="D13" i="6" s="1"/>
  <c r="G55" i="4"/>
  <c r="D15" i="6" s="1"/>
  <c r="G56" i="4"/>
  <c r="D16" i="6" s="1"/>
  <c r="G57" i="4"/>
  <c r="D17" i="6" s="1"/>
  <c r="G58" i="4"/>
  <c r="D18" i="6" s="1"/>
  <c r="G59" i="4"/>
  <c r="D19" i="6" s="1"/>
  <c r="G60" i="4"/>
  <c r="D20" i="6" s="1"/>
  <c r="D21"/>
  <c r="F32" i="4"/>
  <c r="G32"/>
  <c r="H32" s="1"/>
  <c r="D23" i="6" s="1"/>
  <c r="N296" i="5"/>
  <c r="O296" s="1"/>
  <c r="W296" s="1"/>
  <c r="M270"/>
  <c r="N270"/>
  <c r="O270" s="1"/>
  <c r="W270" s="1"/>
  <c r="M271"/>
  <c r="N271"/>
  <c r="O271" s="1"/>
  <c r="M272"/>
  <c r="N272"/>
  <c r="O272" s="1"/>
  <c r="P272" s="1"/>
  <c r="M273"/>
  <c r="N273"/>
  <c r="O273" s="1"/>
  <c r="M274"/>
  <c r="N274"/>
  <c r="O274" s="1"/>
  <c r="W274" s="1"/>
  <c r="M275"/>
  <c r="N275"/>
  <c r="M276"/>
  <c r="N276"/>
  <c r="O276"/>
  <c r="M277"/>
  <c r="N277"/>
  <c r="O277" s="1"/>
  <c r="M278"/>
  <c r="N278"/>
  <c r="O278" s="1"/>
  <c r="W278" s="1"/>
  <c r="M279"/>
  <c r="N279"/>
  <c r="M280"/>
  <c r="N280"/>
  <c r="O280"/>
  <c r="M281"/>
  <c r="N281"/>
  <c r="O281" s="1"/>
  <c r="M282"/>
  <c r="N282"/>
  <c r="O282" s="1"/>
  <c r="M283"/>
  <c r="N283"/>
  <c r="M284"/>
  <c r="N284"/>
  <c r="O284"/>
  <c r="M285"/>
  <c r="N285"/>
  <c r="O285" s="1"/>
  <c r="W285" s="1"/>
  <c r="M286"/>
  <c r="N286"/>
  <c r="O286" s="1"/>
  <c r="M287"/>
  <c r="N287"/>
  <c r="M288"/>
  <c r="N288"/>
  <c r="O288"/>
  <c r="M289"/>
  <c r="N289"/>
  <c r="O289" s="1"/>
  <c r="W289" s="1"/>
  <c r="M290"/>
  <c r="N290"/>
  <c r="O290" s="1"/>
  <c r="M291"/>
  <c r="N291"/>
  <c r="M292"/>
  <c r="N292"/>
  <c r="O292"/>
  <c r="M293"/>
  <c r="N293"/>
  <c r="O293" s="1"/>
  <c r="W293" s="1"/>
  <c r="M294"/>
  <c r="N294"/>
  <c r="O294" s="1"/>
  <c r="M295"/>
  <c r="N295"/>
  <c r="M297"/>
  <c r="N297"/>
  <c r="O297"/>
  <c r="M298"/>
  <c r="N298"/>
  <c r="O298" s="1"/>
  <c r="M299"/>
  <c r="N299"/>
  <c r="O299" s="1"/>
  <c r="M300"/>
  <c r="N300"/>
  <c r="M301"/>
  <c r="N301"/>
  <c r="O301"/>
  <c r="M302"/>
  <c r="N302"/>
  <c r="O302" s="1"/>
  <c r="M303"/>
  <c r="N303"/>
  <c r="O303" s="1"/>
  <c r="M304"/>
  <c r="N304"/>
  <c r="M305"/>
  <c r="N305"/>
  <c r="O305"/>
  <c r="A14"/>
  <c r="A15"/>
  <c r="A16"/>
  <c r="A17"/>
  <c r="A18"/>
  <c r="A19"/>
  <c r="A20"/>
  <c r="A13"/>
  <c r="A21" s="1"/>
  <c r="A37"/>
  <c r="A38"/>
  <c r="A39"/>
  <c r="A40"/>
  <c r="A41"/>
  <c r="A42"/>
  <c r="A43"/>
  <c r="A44"/>
  <c r="A45"/>
  <c r="A46"/>
  <c r="A47"/>
  <c r="A48"/>
  <c r="A49"/>
  <c r="A50"/>
  <c r="A51"/>
  <c r="A52"/>
  <c r="A53"/>
  <c r="A54"/>
  <c r="A55"/>
  <c r="A56"/>
  <c r="A57"/>
  <c r="A59"/>
  <c r="A60"/>
  <c r="A61"/>
  <c r="A63"/>
  <c r="A65"/>
  <c r="A67"/>
  <c r="A68"/>
  <c r="A69"/>
  <c r="A70"/>
  <c r="A71"/>
  <c r="A72"/>
  <c r="A73"/>
  <c r="A74"/>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1"/>
  <c r="A312"/>
  <c r="A313"/>
  <c r="A314"/>
  <c r="A315"/>
  <c r="A316"/>
  <c r="A317"/>
  <c r="A323"/>
  <c r="A324"/>
  <c r="A325"/>
  <c r="A326"/>
  <c r="A327"/>
  <c r="A328"/>
  <c r="A329"/>
  <c r="A330"/>
  <c r="A331"/>
  <c r="A332"/>
  <c r="A333"/>
  <c r="A334"/>
  <c r="A335"/>
  <c r="A336"/>
  <c r="A337"/>
  <c r="A338"/>
  <c r="A339"/>
  <c r="A340"/>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W288"/>
  <c r="W292"/>
  <c r="W297"/>
  <c r="W301"/>
  <c r="P297"/>
  <c r="Q297"/>
  <c r="R297" s="1"/>
  <c r="Q298"/>
  <c r="Q299"/>
  <c r="Q300"/>
  <c r="P301"/>
  <c r="Q301"/>
  <c r="R301" s="1"/>
  <c r="Q302"/>
  <c r="C270"/>
  <c r="C271" s="1"/>
  <c r="C272" s="1"/>
  <c r="C273" s="1"/>
  <c r="C274" s="1"/>
  <c r="M240"/>
  <c r="N240"/>
  <c r="O240"/>
  <c r="W240" s="1"/>
  <c r="M241"/>
  <c r="N241"/>
  <c r="O241" s="1"/>
  <c r="W241" s="1"/>
  <c r="M242"/>
  <c r="N242"/>
  <c r="O242"/>
  <c r="W242" s="1"/>
  <c r="M243"/>
  <c r="N243"/>
  <c r="O243" s="1"/>
  <c r="W243" s="1"/>
  <c r="M244"/>
  <c r="N244"/>
  <c r="O244"/>
  <c r="W244" s="1"/>
  <c r="M245"/>
  <c r="N245"/>
  <c r="O245" s="1"/>
  <c r="W245" s="1"/>
  <c r="M246"/>
  <c r="N246"/>
  <c r="O246"/>
  <c r="W246" s="1"/>
  <c r="M247"/>
  <c r="N247"/>
  <c r="O247" s="1"/>
  <c r="W247" s="1"/>
  <c r="M248"/>
  <c r="N248"/>
  <c r="O248"/>
  <c r="W248" s="1"/>
  <c r="M249"/>
  <c r="N249"/>
  <c r="O249" s="1"/>
  <c r="W249" s="1"/>
  <c r="M250"/>
  <c r="N250"/>
  <c r="O250"/>
  <c r="W250" s="1"/>
  <c r="M251"/>
  <c r="N251"/>
  <c r="O251" s="1"/>
  <c r="W251" s="1"/>
  <c r="M252"/>
  <c r="N252"/>
  <c r="O252"/>
  <c r="W252" s="1"/>
  <c r="M253"/>
  <c r="N253"/>
  <c r="O253" s="1"/>
  <c r="W253" s="1"/>
  <c r="M254"/>
  <c r="N254"/>
  <c r="O254"/>
  <c r="W254" s="1"/>
  <c r="M255"/>
  <c r="N255"/>
  <c r="O255" s="1"/>
  <c r="M256"/>
  <c r="Q256" s="1"/>
  <c r="N256"/>
  <c r="O256"/>
  <c r="W256" s="1"/>
  <c r="M257"/>
  <c r="N257"/>
  <c r="O257" s="1"/>
  <c r="M258"/>
  <c r="Q258" s="1"/>
  <c r="N258"/>
  <c r="O258"/>
  <c r="W258" s="1"/>
  <c r="M259"/>
  <c r="N259"/>
  <c r="O259" s="1"/>
  <c r="M260"/>
  <c r="Q260" s="1"/>
  <c r="N260"/>
  <c r="O260"/>
  <c r="W260" s="1"/>
  <c r="M261"/>
  <c r="N261"/>
  <c r="O261" s="1"/>
  <c r="W261" s="1"/>
  <c r="M262"/>
  <c r="N262"/>
  <c r="O262"/>
  <c r="W262" s="1"/>
  <c r="P256"/>
  <c r="P258"/>
  <c r="P260"/>
  <c r="C228"/>
  <c r="C229" s="1"/>
  <c r="C230" s="1"/>
  <c r="C231" s="1"/>
  <c r="C232" s="1"/>
  <c r="C233" s="1"/>
  <c r="C234" s="1"/>
  <c r="C235" s="1"/>
  <c r="C236" s="1"/>
  <c r="C237" s="1"/>
  <c r="C238" s="1"/>
  <c r="C239" s="1"/>
  <c r="C240" s="1"/>
  <c r="C241" s="1"/>
  <c r="C242" s="1"/>
  <c r="C243" s="1"/>
  <c r="C244" s="1"/>
  <c r="C245" s="1"/>
  <c r="C246" s="1"/>
  <c r="C247" s="1"/>
  <c r="C248" s="1"/>
  <c r="C249" s="1"/>
  <c r="C250" s="1"/>
  <c r="C251" s="1"/>
  <c r="C252" s="1"/>
  <c r="C253" s="1"/>
  <c r="C254" s="1"/>
  <c r="C255" s="1"/>
  <c r="C256" s="1"/>
  <c r="C257" s="1"/>
  <c r="C258" s="1"/>
  <c r="C259" s="1"/>
  <c r="C260" s="1"/>
  <c r="M31"/>
  <c r="N31"/>
  <c r="O31" s="1"/>
  <c r="W31" s="1"/>
  <c r="M32"/>
  <c r="N32"/>
  <c r="O32" s="1"/>
  <c r="W32" s="1"/>
  <c r="M33"/>
  <c r="N33"/>
  <c r="O33" s="1"/>
  <c r="W33" s="1"/>
  <c r="M34"/>
  <c r="N34"/>
  <c r="O34" s="1"/>
  <c r="W34" s="1"/>
  <c r="M35"/>
  <c r="N35"/>
  <c r="O35" s="1"/>
  <c r="W35" s="1"/>
  <c r="M36"/>
  <c r="N36"/>
  <c r="O36" s="1"/>
  <c r="W36" s="1"/>
  <c r="M37"/>
  <c r="N37"/>
  <c r="O37" s="1"/>
  <c r="W37" s="1"/>
  <c r="M38"/>
  <c r="N38"/>
  <c r="O38" s="1"/>
  <c r="W38" s="1"/>
  <c r="M39"/>
  <c r="N39"/>
  <c r="O39" s="1"/>
  <c r="W39" s="1"/>
  <c r="M40"/>
  <c r="N40"/>
  <c r="O40" s="1"/>
  <c r="W40" s="1"/>
  <c r="M41"/>
  <c r="N41"/>
  <c r="O41" s="1"/>
  <c r="W41" s="1"/>
  <c r="M42"/>
  <c r="N42"/>
  <c r="O42" s="1"/>
  <c r="W42" s="1"/>
  <c r="M43"/>
  <c r="N43"/>
  <c r="O43" s="1"/>
  <c r="W43" s="1"/>
  <c r="M44"/>
  <c r="N44"/>
  <c r="O44" s="1"/>
  <c r="W44" s="1"/>
  <c r="M45"/>
  <c r="N45"/>
  <c r="O45" s="1"/>
  <c r="W45" s="1"/>
  <c r="M72"/>
  <c r="N72"/>
  <c r="O72" s="1"/>
  <c r="W72" s="1"/>
  <c r="M73"/>
  <c r="N73"/>
  <c r="O73" s="1"/>
  <c r="W73" s="1"/>
  <c r="M74"/>
  <c r="N74"/>
  <c r="O74" s="1"/>
  <c r="W74" s="1"/>
  <c r="M75"/>
  <c r="N75"/>
  <c r="O75" s="1"/>
  <c r="W75" s="1"/>
  <c r="M76"/>
  <c r="N76"/>
  <c r="O76" s="1"/>
  <c r="W76" s="1"/>
  <c r="M77"/>
  <c r="N77"/>
  <c r="O77" s="1"/>
  <c r="W77" s="1"/>
  <c r="M78"/>
  <c r="N78"/>
  <c r="O78" s="1"/>
  <c r="W78" s="1"/>
  <c r="M79"/>
  <c r="N79"/>
  <c r="O79" s="1"/>
  <c r="W79" s="1"/>
  <c r="M80"/>
  <c r="N80"/>
  <c r="O80" s="1"/>
  <c r="W80" s="1"/>
  <c r="M81"/>
  <c r="N81"/>
  <c r="O81" s="1"/>
  <c r="W81" s="1"/>
  <c r="M82"/>
  <c r="N82"/>
  <c r="O82" s="1"/>
  <c r="W82" s="1"/>
  <c r="M83"/>
  <c r="N83"/>
  <c r="O83" s="1"/>
  <c r="W83" s="1"/>
  <c r="M84"/>
  <c r="N84"/>
  <c r="O84" s="1"/>
  <c r="W84" s="1"/>
  <c r="M85"/>
  <c r="N85"/>
  <c r="O85" s="1"/>
  <c r="W85" s="1"/>
  <c r="M86"/>
  <c r="N86"/>
  <c r="O86" s="1"/>
  <c r="W86" s="1"/>
  <c r="M87"/>
  <c r="N87"/>
  <c r="O87" s="1"/>
  <c r="W87" s="1"/>
  <c r="M88"/>
  <c r="N88"/>
  <c r="O88" s="1"/>
  <c r="W88" s="1"/>
  <c r="M89"/>
  <c r="N89"/>
  <c r="O89" s="1"/>
  <c r="W89" s="1"/>
  <c r="M90"/>
  <c r="N90"/>
  <c r="O90" s="1"/>
  <c r="W90" s="1"/>
  <c r="M119"/>
  <c r="N119"/>
  <c r="O119" s="1"/>
  <c r="W119" s="1"/>
  <c r="M120"/>
  <c r="N120"/>
  <c r="O120" s="1"/>
  <c r="W120" s="1"/>
  <c r="M121"/>
  <c r="N121"/>
  <c r="O121" s="1"/>
  <c r="W121" s="1"/>
  <c r="M122"/>
  <c r="N122"/>
  <c r="O122" s="1"/>
  <c r="W122" s="1"/>
  <c r="M123"/>
  <c r="N123"/>
  <c r="O123" s="1"/>
  <c r="W123" s="1"/>
  <c r="M124"/>
  <c r="N124"/>
  <c r="O124" s="1"/>
  <c r="W124" s="1"/>
  <c r="M125"/>
  <c r="N125"/>
  <c r="O125" s="1"/>
  <c r="W125" s="1"/>
  <c r="M126"/>
  <c r="N126"/>
  <c r="O126" s="1"/>
  <c r="W126" s="1"/>
  <c r="M127"/>
  <c r="N127"/>
  <c r="O127" s="1"/>
  <c r="W127" s="1"/>
  <c r="M128"/>
  <c r="N128"/>
  <c r="O128" s="1"/>
  <c r="W128" s="1"/>
  <c r="M129"/>
  <c r="N129"/>
  <c r="O129" s="1"/>
  <c r="W129" s="1"/>
  <c r="M130"/>
  <c r="N130"/>
  <c r="O130" s="1"/>
  <c r="W130" s="1"/>
  <c r="M131"/>
  <c r="N131"/>
  <c r="O131" s="1"/>
  <c r="W131" s="1"/>
  <c r="M132"/>
  <c r="N132"/>
  <c r="O132" s="1"/>
  <c r="W132" s="1"/>
  <c r="M133"/>
  <c r="N133"/>
  <c r="O133" s="1"/>
  <c r="W133" s="1"/>
  <c r="M151"/>
  <c r="N151"/>
  <c r="O151" s="1"/>
  <c r="W151" s="1"/>
  <c r="M152"/>
  <c r="N152"/>
  <c r="O152" s="1"/>
  <c r="W152" s="1"/>
  <c r="M153"/>
  <c r="N153"/>
  <c r="O153" s="1"/>
  <c r="W153" s="1"/>
  <c r="M154"/>
  <c r="N154"/>
  <c r="O154" s="1"/>
  <c r="W154" s="1"/>
  <c r="M155"/>
  <c r="N155"/>
  <c r="O155" s="1"/>
  <c r="W155" s="1"/>
  <c r="M156"/>
  <c r="N156"/>
  <c r="O156" s="1"/>
  <c r="W156" s="1"/>
  <c r="M157"/>
  <c r="N157"/>
  <c r="O157" s="1"/>
  <c r="W157" s="1"/>
  <c r="M158"/>
  <c r="N158"/>
  <c r="O158" s="1"/>
  <c r="W158" s="1"/>
  <c r="M159"/>
  <c r="N159"/>
  <c r="O159" s="1"/>
  <c r="W159" s="1"/>
  <c r="M160"/>
  <c r="N160"/>
  <c r="O160" s="1"/>
  <c r="W160" s="1"/>
  <c r="M161"/>
  <c r="N161"/>
  <c r="O161" s="1"/>
  <c r="W161" s="1"/>
  <c r="M162"/>
  <c r="N162"/>
  <c r="O162" s="1"/>
  <c r="W162" s="1"/>
  <c r="M163"/>
  <c r="N163"/>
  <c r="O163" s="1"/>
  <c r="W163" s="1"/>
  <c r="M164"/>
  <c r="N164"/>
  <c r="O164" s="1"/>
  <c r="W164" s="1"/>
  <c r="M165"/>
  <c r="N165"/>
  <c r="O165" s="1"/>
  <c r="P165" s="1"/>
  <c r="R165" s="1"/>
  <c r="M166"/>
  <c r="N166"/>
  <c r="O166" s="1"/>
  <c r="M167"/>
  <c r="N167"/>
  <c r="O167" s="1"/>
  <c r="P167" s="1"/>
  <c r="R167" s="1"/>
  <c r="M168"/>
  <c r="N168"/>
  <c r="O168" s="1"/>
  <c r="W168" s="1"/>
  <c r="M169"/>
  <c r="N169"/>
  <c r="O169" s="1"/>
  <c r="W169" s="1"/>
  <c r="M170"/>
  <c r="N170"/>
  <c r="O170" s="1"/>
  <c r="W170" s="1"/>
  <c r="M171"/>
  <c r="N171"/>
  <c r="O171" s="1"/>
  <c r="W171" s="1"/>
  <c r="M172"/>
  <c r="N172"/>
  <c r="O172" s="1"/>
  <c r="W172" s="1"/>
  <c r="M173"/>
  <c r="N173"/>
  <c r="O173" s="1"/>
  <c r="W173" s="1"/>
  <c r="M174"/>
  <c r="N174"/>
  <c r="O174" s="1"/>
  <c r="W174" s="1"/>
  <c r="M199"/>
  <c r="N199"/>
  <c r="O199" s="1"/>
  <c r="W199" s="1"/>
  <c r="M200"/>
  <c r="N200"/>
  <c r="O200" s="1"/>
  <c r="W200" s="1"/>
  <c r="M201"/>
  <c r="N201"/>
  <c r="O201" s="1"/>
  <c r="W201" s="1"/>
  <c r="M202"/>
  <c r="N202"/>
  <c r="O202" s="1"/>
  <c r="W202" s="1"/>
  <c r="M203"/>
  <c r="N203"/>
  <c r="O203" s="1"/>
  <c r="W203" s="1"/>
  <c r="M204"/>
  <c r="N204"/>
  <c r="O204" s="1"/>
  <c r="W204" s="1"/>
  <c r="M205"/>
  <c r="N205"/>
  <c r="O205" s="1"/>
  <c r="W205" s="1"/>
  <c r="M206"/>
  <c r="N206"/>
  <c r="O206" s="1"/>
  <c r="W206" s="1"/>
  <c r="M207"/>
  <c r="N207"/>
  <c r="O207" s="1"/>
  <c r="W207" s="1"/>
  <c r="M208"/>
  <c r="N208"/>
  <c r="O208" s="1"/>
  <c r="W208" s="1"/>
  <c r="M209"/>
  <c r="N209"/>
  <c r="O209" s="1"/>
  <c r="W209" s="1"/>
  <c r="M210"/>
  <c r="N210"/>
  <c r="O210" s="1"/>
  <c r="W210" s="1"/>
  <c r="M211"/>
  <c r="N211"/>
  <c r="O211" s="1"/>
  <c r="W211" s="1"/>
  <c r="M212"/>
  <c r="N212"/>
  <c r="O212" s="1"/>
  <c r="M213"/>
  <c r="N213"/>
  <c r="O213" s="1"/>
  <c r="M214"/>
  <c r="N214"/>
  <c r="O214" s="1"/>
  <c r="M215"/>
  <c r="N215"/>
  <c r="O215" s="1"/>
  <c r="M216"/>
  <c r="N216"/>
  <c r="O216" s="1"/>
  <c r="M217"/>
  <c r="N217"/>
  <c r="O217" s="1"/>
  <c r="M218"/>
  <c r="N218"/>
  <c r="O218" s="1"/>
  <c r="W218" s="1"/>
  <c r="M219"/>
  <c r="N219"/>
  <c r="O219" s="1"/>
  <c r="W219" s="1"/>
  <c r="Q213"/>
  <c r="Q215"/>
  <c r="Q217"/>
  <c r="C185"/>
  <c r="C186"/>
  <c r="C187" s="1"/>
  <c r="C188" s="1"/>
  <c r="C189" s="1"/>
  <c r="C190" s="1"/>
  <c r="C191" s="1"/>
  <c r="C192" s="1"/>
  <c r="C193" s="1"/>
  <c r="C194" s="1"/>
  <c r="C195" s="1"/>
  <c r="C196" s="1"/>
  <c r="C197" s="1"/>
  <c r="C198" s="1"/>
  <c r="C199" s="1"/>
  <c r="C200" s="1"/>
  <c r="C201" s="1"/>
  <c r="C202" s="1"/>
  <c r="C203" s="1"/>
  <c r="C204" s="1"/>
  <c r="C205" s="1"/>
  <c r="C206" s="1"/>
  <c r="C207" s="1"/>
  <c r="C208" s="1"/>
  <c r="C209" s="1"/>
  <c r="C210" s="1"/>
  <c r="C211" s="1"/>
  <c r="C212" s="1"/>
  <c r="C213" s="1"/>
  <c r="C214" s="1"/>
  <c r="C215" s="1"/>
  <c r="C216" s="1"/>
  <c r="C217" s="1"/>
  <c r="Q165"/>
  <c r="Q166"/>
  <c r="Q167"/>
  <c r="Q168"/>
  <c r="Q170"/>
  <c r="Q172"/>
  <c r="Q174"/>
  <c r="M175"/>
  <c r="N175"/>
  <c r="O175" s="1"/>
  <c r="M176"/>
  <c r="N176"/>
  <c r="O176" s="1"/>
  <c r="P176" s="1"/>
  <c r="R176" s="1"/>
  <c r="Q176"/>
  <c r="M177"/>
  <c r="N177"/>
  <c r="O177" s="1"/>
  <c r="Q164"/>
  <c r="C142"/>
  <c r="C143" s="1"/>
  <c r="C144" s="1"/>
  <c r="C145" s="1"/>
  <c r="C146" s="1"/>
  <c r="C147" s="1"/>
  <c r="C148" s="1"/>
  <c r="C149" s="1"/>
  <c r="C150" s="1"/>
  <c r="C151" s="1"/>
  <c r="C152" s="1"/>
  <c r="C153" s="1"/>
  <c r="C154" s="1"/>
  <c r="C155" s="1"/>
  <c r="C156" s="1"/>
  <c r="C157" s="1"/>
  <c r="C158" s="1"/>
  <c r="C159" s="1"/>
  <c r="C160" s="1"/>
  <c r="C161" s="1"/>
  <c r="C162" s="1"/>
  <c r="C163" s="1"/>
  <c r="C164" s="1"/>
  <c r="C165" s="1"/>
  <c r="C166" s="1"/>
  <c r="C167" s="1"/>
  <c r="C168" s="1"/>
  <c r="C169" s="1"/>
  <c r="C170" s="1"/>
  <c r="C171" s="1"/>
  <c r="C172" s="1"/>
  <c r="C173" s="1"/>
  <c r="C174" s="1"/>
  <c r="C175" s="1"/>
  <c r="Q122"/>
  <c r="P123"/>
  <c r="Q124"/>
  <c r="P125"/>
  <c r="Q126"/>
  <c r="P127"/>
  <c r="Q128"/>
  <c r="P129"/>
  <c r="Q130"/>
  <c r="P131"/>
  <c r="P79"/>
  <c r="Q79"/>
  <c r="R79" s="1"/>
  <c r="P80"/>
  <c r="Q80"/>
  <c r="R80"/>
  <c r="P81"/>
  <c r="Q81"/>
  <c r="R81" s="1"/>
  <c r="P82"/>
  <c r="Q82"/>
  <c r="R82"/>
  <c r="P83"/>
  <c r="Q83"/>
  <c r="R83" s="1"/>
  <c r="P84"/>
  <c r="Q84"/>
  <c r="R84"/>
  <c r="P85"/>
  <c r="Q85"/>
  <c r="R85" s="1"/>
  <c r="P86"/>
  <c r="Q86"/>
  <c r="R86"/>
  <c r="P87"/>
  <c r="Q87"/>
  <c r="R87" s="1"/>
  <c r="P88"/>
  <c r="Q88"/>
  <c r="R88"/>
  <c r="P38"/>
  <c r="Q38"/>
  <c r="R38" s="1"/>
  <c r="P39"/>
  <c r="Q39"/>
  <c r="R39" s="1"/>
  <c r="P40"/>
  <c r="Q40"/>
  <c r="R40" s="1"/>
  <c r="P41"/>
  <c r="Q41"/>
  <c r="R41" s="1"/>
  <c r="P42"/>
  <c r="Q42"/>
  <c r="R42" s="1"/>
  <c r="P43"/>
  <c r="Q43"/>
  <c r="R43" s="1"/>
  <c r="C13"/>
  <c r="C14"/>
  <c r="C15" s="1"/>
  <c r="C16" s="1"/>
  <c r="C17" s="1"/>
  <c r="C18" s="1"/>
  <c r="C19" s="1"/>
  <c r="C20" s="1"/>
  <c r="C21" s="1"/>
  <c r="A448"/>
  <c r="A449"/>
  <c r="A450"/>
  <c r="A451"/>
  <c r="A452"/>
  <c r="A453"/>
  <c r="A454"/>
  <c r="A455"/>
  <c r="A456"/>
  <c r="A457"/>
  <c r="A458"/>
  <c r="A459"/>
  <c r="A460"/>
  <c r="A461"/>
  <c r="A462"/>
  <c r="A463"/>
  <c r="A464"/>
  <c r="A465"/>
  <c r="A466"/>
  <c r="A467"/>
  <c r="A468"/>
  <c r="A469"/>
  <c r="A470"/>
  <c r="A471"/>
  <c r="A472"/>
  <c r="A473"/>
  <c r="A474"/>
  <c r="A475"/>
  <c r="A476"/>
  <c r="A477"/>
  <c r="A478"/>
  <c r="A479"/>
  <c r="A480"/>
  <c r="C318"/>
  <c r="N330" s="1"/>
  <c r="I32" i="4"/>
  <c r="C426" i="5"/>
  <c r="N438" s="1"/>
  <c r="C408"/>
  <c r="N420" s="1"/>
  <c r="C390"/>
  <c r="N402" s="1"/>
  <c r="C372"/>
  <c r="N384" s="1"/>
  <c r="C354"/>
  <c r="N366" s="1"/>
  <c r="C336"/>
  <c r="N348" s="1"/>
  <c r="K266"/>
  <c r="K51"/>
  <c r="N307"/>
  <c r="N308" s="1"/>
  <c r="M228"/>
  <c r="M265" s="1"/>
  <c r="M266" s="1"/>
  <c r="N228"/>
  <c r="O228"/>
  <c r="M229"/>
  <c r="N229"/>
  <c r="M230"/>
  <c r="N230"/>
  <c r="O230" s="1"/>
  <c r="P230" s="1"/>
  <c r="M231"/>
  <c r="N231"/>
  <c r="M232"/>
  <c r="N232"/>
  <c r="O232"/>
  <c r="M233"/>
  <c r="N233"/>
  <c r="O233" s="1"/>
  <c r="M234"/>
  <c r="N234"/>
  <c r="O234" s="1"/>
  <c r="P234" s="1"/>
  <c r="M235"/>
  <c r="N235"/>
  <c r="M236"/>
  <c r="N236"/>
  <c r="O236"/>
  <c r="M237"/>
  <c r="N237"/>
  <c r="O237" s="1"/>
  <c r="M238"/>
  <c r="N238"/>
  <c r="O238" s="1"/>
  <c r="P238" s="1"/>
  <c r="M239"/>
  <c r="N239"/>
  <c r="M263"/>
  <c r="N263"/>
  <c r="O263"/>
  <c r="M185"/>
  <c r="N185"/>
  <c r="O185" s="1"/>
  <c r="M186"/>
  <c r="N186"/>
  <c r="O186" s="1"/>
  <c r="M187"/>
  <c r="N187"/>
  <c r="M188"/>
  <c r="N188"/>
  <c r="O188"/>
  <c r="M189"/>
  <c r="N189"/>
  <c r="O189" s="1"/>
  <c r="M190"/>
  <c r="N190"/>
  <c r="O190" s="1"/>
  <c r="M191"/>
  <c r="N191"/>
  <c r="M192"/>
  <c r="N192"/>
  <c r="O192"/>
  <c r="M193"/>
  <c r="N193"/>
  <c r="O193" s="1"/>
  <c r="M194"/>
  <c r="N194"/>
  <c r="O194" s="1"/>
  <c r="M195"/>
  <c r="N195"/>
  <c r="M196"/>
  <c r="N196"/>
  <c r="O196"/>
  <c r="M197"/>
  <c r="N197"/>
  <c r="O197" s="1"/>
  <c r="M198"/>
  <c r="N198"/>
  <c r="O198" s="1"/>
  <c r="M220"/>
  <c r="N220"/>
  <c r="N222"/>
  <c r="N223" s="1"/>
  <c r="C28" i="7"/>
  <c r="L435" i="5" s="1"/>
  <c r="C29" i="7"/>
  <c r="N435" i="5"/>
  <c r="C60" i="7"/>
  <c r="C61"/>
  <c r="L434" i="5"/>
  <c r="N434"/>
  <c r="L433"/>
  <c r="N433"/>
  <c r="L432"/>
  <c r="N432"/>
  <c r="L431"/>
  <c r="N431"/>
  <c r="L430"/>
  <c r="N430"/>
  <c r="L429"/>
  <c r="N429"/>
  <c r="L428"/>
  <c r="N428"/>
  <c r="L427"/>
  <c r="N427"/>
  <c r="L426"/>
  <c r="N426"/>
  <c r="L417"/>
  <c r="N417"/>
  <c r="L416"/>
  <c r="N416"/>
  <c r="L415"/>
  <c r="N415"/>
  <c r="L414"/>
  <c r="N414"/>
  <c r="L413"/>
  <c r="N413"/>
  <c r="L412"/>
  <c r="N412"/>
  <c r="L411"/>
  <c r="N411"/>
  <c r="L410"/>
  <c r="N410"/>
  <c r="L409"/>
  <c r="N409"/>
  <c r="L408"/>
  <c r="N408"/>
  <c r="L399"/>
  <c r="N399"/>
  <c r="L398"/>
  <c r="N398"/>
  <c r="L397"/>
  <c r="N397"/>
  <c r="L396"/>
  <c r="N396"/>
  <c r="L395"/>
  <c r="N395"/>
  <c r="L394"/>
  <c r="N394"/>
  <c r="L393"/>
  <c r="N393"/>
  <c r="L392"/>
  <c r="N392"/>
  <c r="L391"/>
  <c r="N391"/>
  <c r="L390"/>
  <c r="N390"/>
  <c r="L381"/>
  <c r="N381"/>
  <c r="L380"/>
  <c r="N380"/>
  <c r="L379"/>
  <c r="N379"/>
  <c r="L378"/>
  <c r="N378"/>
  <c r="L377"/>
  <c r="N377"/>
  <c r="L376"/>
  <c r="N376"/>
  <c r="L375"/>
  <c r="N375"/>
  <c r="L374"/>
  <c r="N374"/>
  <c r="L373"/>
  <c r="N373"/>
  <c r="L372"/>
  <c r="N372"/>
  <c r="L363"/>
  <c r="N363"/>
  <c r="L362"/>
  <c r="N362"/>
  <c r="L361"/>
  <c r="N361"/>
  <c r="L360"/>
  <c r="N360"/>
  <c r="L359"/>
  <c r="N359"/>
  <c r="L358"/>
  <c r="N358"/>
  <c r="L357"/>
  <c r="N357"/>
  <c r="L356"/>
  <c r="N356"/>
  <c r="L355"/>
  <c r="N355"/>
  <c r="L354"/>
  <c r="N354"/>
  <c r="L345"/>
  <c r="N345"/>
  <c r="L344"/>
  <c r="N344"/>
  <c r="L343"/>
  <c r="N343"/>
  <c r="L342"/>
  <c r="N342"/>
  <c r="L341"/>
  <c r="N341"/>
  <c r="L340"/>
  <c r="N340"/>
  <c r="L339"/>
  <c r="N339"/>
  <c r="L338"/>
  <c r="N338"/>
  <c r="L337"/>
  <c r="N337"/>
  <c r="L336"/>
  <c r="N336"/>
  <c r="L327"/>
  <c r="N327"/>
  <c r="L326"/>
  <c r="N326"/>
  <c r="L325"/>
  <c r="N325"/>
  <c r="L324"/>
  <c r="N324"/>
  <c r="L323"/>
  <c r="N323"/>
  <c r="L322"/>
  <c r="N322"/>
  <c r="L321"/>
  <c r="N321"/>
  <c r="L320"/>
  <c r="N320"/>
  <c r="L319"/>
  <c r="N319"/>
  <c r="L318"/>
  <c r="N318"/>
  <c r="C337"/>
  <c r="C338" s="1"/>
  <c r="C339" s="1"/>
  <c r="C340" s="1"/>
  <c r="C341" s="1"/>
  <c r="M307"/>
  <c r="M308" s="1"/>
  <c r="M222"/>
  <c r="M223" s="1"/>
  <c r="I23" i="4"/>
  <c r="I24"/>
  <c r="I30" s="1"/>
  <c r="I25"/>
  <c r="I27"/>
  <c r="I28"/>
  <c r="I29"/>
  <c r="H30"/>
  <c r="G30"/>
  <c r="F30"/>
  <c r="D28" i="6"/>
  <c r="M56" i="5"/>
  <c r="N56"/>
  <c r="M57"/>
  <c r="N57"/>
  <c r="O57"/>
  <c r="M58"/>
  <c r="N58"/>
  <c r="O58" s="1"/>
  <c r="W58" s="1"/>
  <c r="M59"/>
  <c r="N59"/>
  <c r="O59" s="1"/>
  <c r="P59" s="1"/>
  <c r="M60"/>
  <c r="N60"/>
  <c r="M61"/>
  <c r="N61"/>
  <c r="O61"/>
  <c r="M62"/>
  <c r="N62"/>
  <c r="O62" s="1"/>
  <c r="W62" s="1"/>
  <c r="M63"/>
  <c r="N63"/>
  <c r="O63" s="1"/>
  <c r="W63" s="1"/>
  <c r="M64"/>
  <c r="Q64" s="1"/>
  <c r="N64"/>
  <c r="M65"/>
  <c r="N65"/>
  <c r="O65"/>
  <c r="M66"/>
  <c r="N66"/>
  <c r="O66" s="1"/>
  <c r="W66" s="1"/>
  <c r="M67"/>
  <c r="N67"/>
  <c r="O67" s="1"/>
  <c r="W67" s="1"/>
  <c r="M68"/>
  <c r="N68"/>
  <c r="M69"/>
  <c r="Q69" s="1"/>
  <c r="N69"/>
  <c r="O69"/>
  <c r="M70"/>
  <c r="N70"/>
  <c r="O70" s="1"/>
  <c r="W70" s="1"/>
  <c r="M71"/>
  <c r="N71"/>
  <c r="O71" s="1"/>
  <c r="M91"/>
  <c r="N91"/>
  <c r="M23"/>
  <c r="N23"/>
  <c r="M24"/>
  <c r="N24"/>
  <c r="C15" i="6"/>
  <c r="L15" s="1"/>
  <c r="M25" i="5"/>
  <c r="N25"/>
  <c r="J445"/>
  <c r="N445" s="1"/>
  <c r="O445" s="1"/>
  <c r="M26"/>
  <c r="Q26" s="1"/>
  <c r="N26"/>
  <c r="O26"/>
  <c r="M27"/>
  <c r="N27"/>
  <c r="O27" s="1"/>
  <c r="W27" s="1"/>
  <c r="M22"/>
  <c r="N22"/>
  <c r="O22"/>
  <c r="P22" s="1"/>
  <c r="M28"/>
  <c r="N28"/>
  <c r="O28" s="1"/>
  <c r="M29"/>
  <c r="N29"/>
  <c r="O29"/>
  <c r="W29" s="1"/>
  <c r="M30"/>
  <c r="N30"/>
  <c r="O30" s="1"/>
  <c r="C16" i="6"/>
  <c r="L16" s="1"/>
  <c r="M21" i="5"/>
  <c r="N21"/>
  <c r="C17" i="6"/>
  <c r="L17" s="1"/>
  <c r="C18"/>
  <c r="L18"/>
  <c r="C19"/>
  <c r="L19" s="1"/>
  <c r="C20"/>
  <c r="L20" s="1"/>
  <c r="C21"/>
  <c r="L21" s="1"/>
  <c r="M15"/>
  <c r="M16"/>
  <c r="M17"/>
  <c r="M18"/>
  <c r="M19"/>
  <c r="M20"/>
  <c r="M21"/>
  <c r="M13" i="5"/>
  <c r="Q13" s="1"/>
  <c r="N13"/>
  <c r="O13"/>
  <c r="W13" s="1"/>
  <c r="M20"/>
  <c r="N20"/>
  <c r="O20" s="1"/>
  <c r="W20" s="1"/>
  <c r="C8" i="6"/>
  <c r="L8" s="1"/>
  <c r="M9"/>
  <c r="M10"/>
  <c r="M11"/>
  <c r="M12"/>
  <c r="M13"/>
  <c r="M14"/>
  <c r="M14" i="5"/>
  <c r="N14"/>
  <c r="M15"/>
  <c r="N15"/>
  <c r="O15"/>
  <c r="M16"/>
  <c r="N16"/>
  <c r="O16" s="1"/>
  <c r="W16" s="1"/>
  <c r="M17"/>
  <c r="N17"/>
  <c r="O17" s="1"/>
  <c r="M18"/>
  <c r="N18"/>
  <c r="M19"/>
  <c r="N19"/>
  <c r="O19"/>
  <c r="M46"/>
  <c r="N46"/>
  <c r="O46" s="1"/>
  <c r="W46" s="1"/>
  <c r="M47"/>
  <c r="N47"/>
  <c r="O47" s="1"/>
  <c r="M48"/>
  <c r="N48"/>
  <c r="M99"/>
  <c r="N99"/>
  <c r="O99"/>
  <c r="W99" s="1"/>
  <c r="M100"/>
  <c r="N100"/>
  <c r="O100" s="1"/>
  <c r="P100" s="1"/>
  <c r="M101"/>
  <c r="N101"/>
  <c r="O101" s="1"/>
  <c r="W101" s="1"/>
  <c r="M102"/>
  <c r="N102"/>
  <c r="M103"/>
  <c r="N103"/>
  <c r="O103"/>
  <c r="W103" s="1"/>
  <c r="M104"/>
  <c r="N104"/>
  <c r="O104" s="1"/>
  <c r="M105"/>
  <c r="N105"/>
  <c r="O105" s="1"/>
  <c r="W105" s="1"/>
  <c r="M106"/>
  <c r="N106"/>
  <c r="M107"/>
  <c r="N107"/>
  <c r="O107"/>
  <c r="W107" s="1"/>
  <c r="M108"/>
  <c r="N108"/>
  <c r="O108" s="1"/>
  <c r="M109"/>
  <c r="N109"/>
  <c r="O109" s="1"/>
  <c r="W109" s="1"/>
  <c r="M110"/>
  <c r="N110"/>
  <c r="M111"/>
  <c r="N111"/>
  <c r="O111"/>
  <c r="W111" s="1"/>
  <c r="M112"/>
  <c r="N112"/>
  <c r="O112" s="1"/>
  <c r="M113"/>
  <c r="N113"/>
  <c r="O113" s="1"/>
  <c r="M114"/>
  <c r="N114"/>
  <c r="M115"/>
  <c r="Q115" s="1"/>
  <c r="N115"/>
  <c r="O115"/>
  <c r="W115" s="1"/>
  <c r="M116"/>
  <c r="N116"/>
  <c r="O116" s="1"/>
  <c r="M117"/>
  <c r="N117"/>
  <c r="O117" s="1"/>
  <c r="M118"/>
  <c r="N118"/>
  <c r="M134"/>
  <c r="N134"/>
  <c r="O134"/>
  <c r="W134" s="1"/>
  <c r="M142"/>
  <c r="N142"/>
  <c r="O142" s="1"/>
  <c r="M143"/>
  <c r="N143"/>
  <c r="O143" s="1"/>
  <c r="M144"/>
  <c r="N144"/>
  <c r="M145"/>
  <c r="N145"/>
  <c r="O145"/>
  <c r="W145" s="1"/>
  <c r="M146"/>
  <c r="N146"/>
  <c r="O146" s="1"/>
  <c r="M147"/>
  <c r="N147"/>
  <c r="O147" s="1"/>
  <c r="W147" s="1"/>
  <c r="M148"/>
  <c r="N148"/>
  <c r="M149"/>
  <c r="N149"/>
  <c r="O149"/>
  <c r="W149" s="1"/>
  <c r="M150"/>
  <c r="N150"/>
  <c r="O150" s="1"/>
  <c r="D30" i="6"/>
  <c r="L22"/>
  <c r="M23"/>
  <c r="M30" s="1"/>
  <c r="M22"/>
  <c r="W26" i="5"/>
  <c r="W69"/>
  <c r="W22"/>
  <c r="J447"/>
  <c r="M447" s="1"/>
  <c r="J446"/>
  <c r="N446"/>
  <c r="O446" s="1"/>
  <c r="W446" s="1"/>
  <c r="J443"/>
  <c r="N443"/>
  <c r="O443" s="1"/>
  <c r="W443" s="1"/>
  <c r="I8"/>
  <c r="H8"/>
  <c r="I10"/>
  <c r="H10"/>
  <c r="G10"/>
  <c r="F10"/>
  <c r="E10"/>
  <c r="D10"/>
  <c r="C10"/>
  <c r="G8"/>
  <c r="F8"/>
  <c r="C8"/>
  <c r="C261"/>
  <c r="C262" s="1"/>
  <c r="C263" s="1"/>
  <c r="C218"/>
  <c r="C219"/>
  <c r="C220" s="1"/>
  <c r="C176"/>
  <c r="C177" s="1"/>
  <c r="W305"/>
  <c r="P305"/>
  <c r="Q305"/>
  <c r="R305" s="1"/>
  <c r="Q304"/>
  <c r="Q303"/>
  <c r="P296"/>
  <c r="Q296"/>
  <c r="Q295"/>
  <c r="Q294"/>
  <c r="P293"/>
  <c r="Q293"/>
  <c r="P292"/>
  <c r="Q292"/>
  <c r="Q291"/>
  <c r="Q290"/>
  <c r="P289"/>
  <c r="Q289"/>
  <c r="P288"/>
  <c r="Q288"/>
  <c r="Q287"/>
  <c r="Q286"/>
  <c r="P285"/>
  <c r="Q285"/>
  <c r="W284"/>
  <c r="P284"/>
  <c r="Q284"/>
  <c r="R284" s="1"/>
  <c r="Q283"/>
  <c r="Q282"/>
  <c r="W281"/>
  <c r="P281"/>
  <c r="Q281"/>
  <c r="W280"/>
  <c r="P280"/>
  <c r="Q280"/>
  <c r="R280" s="1"/>
  <c r="Q279"/>
  <c r="P278"/>
  <c r="Q278"/>
  <c r="R278"/>
  <c r="W277"/>
  <c r="P277"/>
  <c r="Q277"/>
  <c r="W276"/>
  <c r="P276"/>
  <c r="Q276"/>
  <c r="R276" s="1"/>
  <c r="Q275"/>
  <c r="P274"/>
  <c r="Q274"/>
  <c r="R274"/>
  <c r="W273"/>
  <c r="P273"/>
  <c r="Q273"/>
  <c r="W272"/>
  <c r="Q272"/>
  <c r="W271"/>
  <c r="P271"/>
  <c r="Q271"/>
  <c r="R271" s="1"/>
  <c r="P270"/>
  <c r="Q270"/>
  <c r="R270"/>
  <c r="W263"/>
  <c r="P263"/>
  <c r="Q263"/>
  <c r="P262"/>
  <c r="Q262"/>
  <c r="P261"/>
  <c r="Q261"/>
  <c r="P254"/>
  <c r="Q254"/>
  <c r="P253"/>
  <c r="Q253"/>
  <c r="P252"/>
  <c r="Q252"/>
  <c r="P251"/>
  <c r="Q251"/>
  <c r="P250"/>
  <c r="Q250"/>
  <c r="P249"/>
  <c r="Q249"/>
  <c r="P248"/>
  <c r="Q248"/>
  <c r="P247"/>
  <c r="Q247"/>
  <c r="P246"/>
  <c r="Q246"/>
  <c r="P245"/>
  <c r="Q245"/>
  <c r="P244"/>
  <c r="Q244"/>
  <c r="P243"/>
  <c r="Q243"/>
  <c r="P242"/>
  <c r="Q242"/>
  <c r="P241"/>
  <c r="Q241"/>
  <c r="P240"/>
  <c r="Q240"/>
  <c r="Q239"/>
  <c r="W238"/>
  <c r="Q238"/>
  <c r="R238" s="1"/>
  <c r="W237"/>
  <c r="P237"/>
  <c r="Q237"/>
  <c r="R237"/>
  <c r="W236"/>
  <c r="P236"/>
  <c r="Q236"/>
  <c r="Q235"/>
  <c r="W234"/>
  <c r="Q234"/>
  <c r="R234" s="1"/>
  <c r="W233"/>
  <c r="P233"/>
  <c r="Q233"/>
  <c r="R233"/>
  <c r="W232"/>
  <c r="P232"/>
  <c r="Q232"/>
  <c r="Q231"/>
  <c r="W230"/>
  <c r="Q230"/>
  <c r="R230" s="1"/>
  <c r="Q229"/>
  <c r="W228"/>
  <c r="P228"/>
  <c r="Q228"/>
  <c r="R228" s="1"/>
  <c r="P75"/>
  <c r="Q75"/>
  <c r="R75" s="1"/>
  <c r="P66"/>
  <c r="Q62"/>
  <c r="Q58"/>
  <c r="P36"/>
  <c r="Q36"/>
  <c r="P35"/>
  <c r="Q35"/>
  <c r="R35"/>
  <c r="P34"/>
  <c r="Q34"/>
  <c r="R34" s="1"/>
  <c r="P33"/>
  <c r="Q33"/>
  <c r="R33" s="1"/>
  <c r="P32"/>
  <c r="Q32"/>
  <c r="P31"/>
  <c r="Q31"/>
  <c r="R31"/>
  <c r="Q30"/>
  <c r="Q29"/>
  <c r="Q28"/>
  <c r="Q445"/>
  <c r="P27"/>
  <c r="P26"/>
  <c r="R26"/>
  <c r="Q25"/>
  <c r="Q24"/>
  <c r="P69"/>
  <c r="R69"/>
  <c r="Q23"/>
  <c r="Q20"/>
  <c r="Q22"/>
  <c r="P13"/>
  <c r="R13" s="1"/>
  <c r="Q21"/>
  <c r="W198"/>
  <c r="W197"/>
  <c r="W196"/>
  <c r="W194"/>
  <c r="W193"/>
  <c r="W192"/>
  <c r="W190"/>
  <c r="W189"/>
  <c r="W188"/>
  <c r="W186"/>
  <c r="W185"/>
  <c r="W178"/>
  <c r="W177"/>
  <c r="W176"/>
  <c r="W175"/>
  <c r="W150"/>
  <c r="W146"/>
  <c r="W142"/>
  <c r="W116"/>
  <c r="W112"/>
  <c r="W108"/>
  <c r="W104"/>
  <c r="W100"/>
  <c r="W92"/>
  <c r="W71"/>
  <c r="W65"/>
  <c r="W61"/>
  <c r="W59"/>
  <c r="W57"/>
  <c r="W47"/>
  <c r="W19"/>
  <c r="W17"/>
  <c r="W15"/>
  <c r="C427"/>
  <c r="C428" s="1"/>
  <c r="C429" s="1"/>
  <c r="C430" s="1"/>
  <c r="C431" s="1"/>
  <c r="C432" s="1"/>
  <c r="C433" s="1"/>
  <c r="C434" s="1"/>
  <c r="C435" s="1"/>
  <c r="C409"/>
  <c r="C410" s="1"/>
  <c r="C411" s="1"/>
  <c r="C412" s="1"/>
  <c r="C413" s="1"/>
  <c r="C414" s="1"/>
  <c r="C415" s="1"/>
  <c r="C416" s="1"/>
  <c r="C417" s="1"/>
  <c r="C391"/>
  <c r="C392"/>
  <c r="C393" s="1"/>
  <c r="C394" s="1"/>
  <c r="C395" s="1"/>
  <c r="C396" s="1"/>
  <c r="C397" s="1"/>
  <c r="C398" s="1"/>
  <c r="C399" s="1"/>
  <c r="C373"/>
  <c r="C374" s="1"/>
  <c r="C375" s="1"/>
  <c r="C376" s="1"/>
  <c r="C377" s="1"/>
  <c r="C378" s="1"/>
  <c r="C379" s="1"/>
  <c r="C380" s="1"/>
  <c r="C381" s="1"/>
  <c r="C355"/>
  <c r="C356" s="1"/>
  <c r="C357" s="1"/>
  <c r="C358" s="1"/>
  <c r="C359" s="1"/>
  <c r="C360" s="1"/>
  <c r="C361" s="1"/>
  <c r="C362" s="1"/>
  <c r="C363" s="1"/>
  <c r="C342"/>
  <c r="C343" s="1"/>
  <c r="C344" s="1"/>
  <c r="C345" s="1"/>
  <c r="H63" i="4"/>
  <c r="C29"/>
  <c r="C14" i="6" s="1"/>
  <c r="L14" s="1"/>
  <c r="C28" i="4"/>
  <c r="C13" i="6" s="1"/>
  <c r="L13" s="1"/>
  <c r="C27" i="4"/>
  <c r="C12" i="6" s="1"/>
  <c r="L12" s="1"/>
  <c r="C26" i="4"/>
  <c r="C11" i="6" s="1"/>
  <c r="L11" s="1"/>
  <c r="C25" i="4"/>
  <c r="C24"/>
  <c r="F30" i="6"/>
  <c r="O30"/>
  <c r="P19" i="5"/>
  <c r="P57"/>
  <c r="P61"/>
  <c r="P63"/>
  <c r="P70"/>
  <c r="P71"/>
  <c r="P72"/>
  <c r="P73"/>
  <c r="P74"/>
  <c r="P99"/>
  <c r="P112"/>
  <c r="P116"/>
  <c r="P119"/>
  <c r="P142"/>
  <c r="P185"/>
  <c r="P186"/>
  <c r="P199"/>
  <c r="P200"/>
  <c r="P201"/>
  <c r="P202"/>
  <c r="P203"/>
  <c r="P204"/>
  <c r="P446"/>
  <c r="Q14"/>
  <c r="Q19"/>
  <c r="Q56"/>
  <c r="Q57"/>
  <c r="Q59"/>
  <c r="Q60"/>
  <c r="Q61"/>
  <c r="Q63"/>
  <c r="Q70"/>
  <c r="Q71"/>
  <c r="Q72"/>
  <c r="Q73"/>
  <c r="Q74"/>
  <c r="Q99"/>
  <c r="Q112"/>
  <c r="Q114"/>
  <c r="Q116"/>
  <c r="Q118"/>
  <c r="Q119"/>
  <c r="Q142"/>
  <c r="Q144"/>
  <c r="Q185"/>
  <c r="Q186"/>
  <c r="Q199"/>
  <c r="Q200"/>
  <c r="Q201"/>
  <c r="Q202"/>
  <c r="Q203"/>
  <c r="Q204"/>
  <c r="Q446"/>
  <c r="M93"/>
  <c r="M94"/>
  <c r="N93"/>
  <c r="N23" i="6"/>
  <c r="N30" s="1"/>
  <c r="E23"/>
  <c r="E30" s="1"/>
  <c r="L23"/>
  <c r="L30"/>
  <c r="C39" i="7"/>
  <c r="C40"/>
  <c r="C63"/>
  <c r="C64"/>
  <c r="E30" i="4"/>
  <c r="B97" i="1"/>
  <c r="J97"/>
  <c r="B98"/>
  <c r="J98"/>
  <c r="B99"/>
  <c r="J99"/>
  <c r="B100"/>
  <c r="J100"/>
  <c r="B101"/>
  <c r="J101"/>
  <c r="B102"/>
  <c r="J102"/>
  <c r="B103"/>
  <c r="J103"/>
  <c r="B104"/>
  <c r="J104"/>
  <c r="B105"/>
  <c r="J105"/>
  <c r="M26" i="6"/>
  <c r="M7"/>
  <c r="J17" i="1"/>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7"/>
  <c r="J8"/>
  <c r="J9"/>
  <c r="J10"/>
  <c r="J11"/>
  <c r="J12"/>
  <c r="J13"/>
  <c r="J14"/>
  <c r="J15"/>
  <c r="J16"/>
  <c r="J6"/>
  <c r="B7"/>
  <c r="B8"/>
  <c r="P15" i="5"/>
  <c r="B9" i="1"/>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6"/>
  <c r="Q15" i="5"/>
  <c r="R59"/>
  <c r="R61"/>
  <c r="R70"/>
  <c r="R72"/>
  <c r="R74"/>
  <c r="R112"/>
  <c r="R116"/>
  <c r="R119"/>
  <c r="R142"/>
  <c r="R185"/>
  <c r="R186"/>
  <c r="R199"/>
  <c r="R200"/>
  <c r="R201"/>
  <c r="R202"/>
  <c r="R203"/>
  <c r="R204"/>
  <c r="Q220"/>
  <c r="P219"/>
  <c r="Q219"/>
  <c r="P218"/>
  <c r="Q218"/>
  <c r="R218"/>
  <c r="P211"/>
  <c r="Q211"/>
  <c r="R211" s="1"/>
  <c r="P210"/>
  <c r="Q210"/>
  <c r="R210" s="1"/>
  <c r="P209"/>
  <c r="Q209"/>
  <c r="P208"/>
  <c r="Q208"/>
  <c r="R208"/>
  <c r="P207"/>
  <c r="Q207"/>
  <c r="R207" s="1"/>
  <c r="P206"/>
  <c r="Q206"/>
  <c r="R206" s="1"/>
  <c r="P205"/>
  <c r="Q205"/>
  <c r="P198"/>
  <c r="Q198"/>
  <c r="R198"/>
  <c r="P197"/>
  <c r="Q197"/>
  <c r="R197" s="1"/>
  <c r="P196"/>
  <c r="Q196"/>
  <c r="R196" s="1"/>
  <c r="Q195"/>
  <c r="P194"/>
  <c r="Q194"/>
  <c r="R194"/>
  <c r="P193"/>
  <c r="Q193"/>
  <c r="R193" s="1"/>
  <c r="P192"/>
  <c r="Q192"/>
  <c r="R192" s="1"/>
  <c r="Q191"/>
  <c r="P190"/>
  <c r="R190" s="1"/>
  <c r="Q190"/>
  <c r="P189"/>
  <c r="Q189"/>
  <c r="R189" s="1"/>
  <c r="P188"/>
  <c r="Q188"/>
  <c r="R188" s="1"/>
  <c r="Q187"/>
  <c r="P163"/>
  <c r="R163" s="1"/>
  <c r="Q163"/>
  <c r="P162"/>
  <c r="Q162"/>
  <c r="R162" s="1"/>
  <c r="P161"/>
  <c r="Q161"/>
  <c r="R161" s="1"/>
  <c r="P160"/>
  <c r="Q160"/>
  <c r="P159"/>
  <c r="Q159"/>
  <c r="R159"/>
  <c r="P158"/>
  <c r="Q158"/>
  <c r="R158" s="1"/>
  <c r="P157"/>
  <c r="Q157"/>
  <c r="R157" s="1"/>
  <c r="P156"/>
  <c r="Q156"/>
  <c r="P155"/>
  <c r="Q155"/>
  <c r="R155"/>
  <c r="P154"/>
  <c r="Q154"/>
  <c r="R154" s="1"/>
  <c r="P153"/>
  <c r="Q153"/>
  <c r="R153" s="1"/>
  <c r="P152"/>
  <c r="Q152"/>
  <c r="P151"/>
  <c r="Q151"/>
  <c r="R151"/>
  <c r="P150"/>
  <c r="Q150"/>
  <c r="R150" s="1"/>
  <c r="P149"/>
  <c r="Q149"/>
  <c r="R149" s="1"/>
  <c r="Q148"/>
  <c r="P147"/>
  <c r="Q147"/>
  <c r="R147"/>
  <c r="P146"/>
  <c r="Q146"/>
  <c r="R146" s="1"/>
  <c r="P145"/>
  <c r="Q145"/>
  <c r="R145" s="1"/>
  <c r="P134"/>
  <c r="Q134"/>
  <c r="P133"/>
  <c r="R133" s="1"/>
  <c r="Q133"/>
  <c r="P132"/>
  <c r="Q132"/>
  <c r="R132" s="1"/>
  <c r="P121"/>
  <c r="Q121"/>
  <c r="R121" s="1"/>
  <c r="P120"/>
  <c r="Q120"/>
  <c r="P111"/>
  <c r="R111" s="1"/>
  <c r="Q111"/>
  <c r="Q110"/>
  <c r="P109"/>
  <c r="Q109"/>
  <c r="R109" s="1"/>
  <c r="P108"/>
  <c r="Q108"/>
  <c r="P107"/>
  <c r="Q107"/>
  <c r="R107"/>
  <c r="Q106"/>
  <c r="P105"/>
  <c r="Q105"/>
  <c r="R105" s="1"/>
  <c r="P104"/>
  <c r="Q104"/>
  <c r="P103"/>
  <c r="Q103"/>
  <c r="R103"/>
  <c r="Q102"/>
  <c r="P101"/>
  <c r="Q101"/>
  <c r="R101" s="1"/>
  <c r="Q91"/>
  <c r="P90"/>
  <c r="Q90"/>
  <c r="R90"/>
  <c r="P89"/>
  <c r="Q89"/>
  <c r="R89" s="1"/>
  <c r="P78"/>
  <c r="Q78"/>
  <c r="R78" s="1"/>
  <c r="P77"/>
  <c r="Q77"/>
  <c r="P76"/>
  <c r="Q76"/>
  <c r="R76"/>
  <c r="Q68"/>
  <c r="P67"/>
  <c r="Q67"/>
  <c r="R67" s="1"/>
  <c r="P65"/>
  <c r="Q65"/>
  <c r="P17"/>
  <c r="Q17"/>
  <c r="R17"/>
  <c r="Q18"/>
  <c r="P37"/>
  <c r="Q37"/>
  <c r="R37" s="1"/>
  <c r="P44"/>
  <c r="Q44"/>
  <c r="P45"/>
  <c r="Q45"/>
  <c r="R45"/>
  <c r="P46"/>
  <c r="Q46"/>
  <c r="R46" s="1"/>
  <c r="P47"/>
  <c r="Q47"/>
  <c r="R47" s="1"/>
  <c r="Q48"/>
  <c r="D26" i="6"/>
  <c r="N179" i="5"/>
  <c r="N180" s="1"/>
  <c r="M179"/>
  <c r="M180" s="1"/>
  <c r="N136"/>
  <c r="N137"/>
  <c r="M136"/>
  <c r="M137"/>
  <c r="N94"/>
  <c r="N50"/>
  <c r="N51" s="1"/>
  <c r="M50"/>
  <c r="M51" s="1"/>
  <c r="D7" i="6"/>
  <c r="O447" i="5" l="1"/>
  <c r="Q447"/>
  <c r="W143"/>
  <c r="P143"/>
  <c r="W113"/>
  <c r="P113"/>
  <c r="P30"/>
  <c r="W30"/>
  <c r="W257"/>
  <c r="P257"/>
  <c r="P299"/>
  <c r="W299"/>
  <c r="W290"/>
  <c r="P290"/>
  <c r="W282"/>
  <c r="P282"/>
  <c r="R282" s="1"/>
  <c r="R44"/>
  <c r="R65"/>
  <c r="R77"/>
  <c r="R104"/>
  <c r="R108"/>
  <c r="R120"/>
  <c r="R134"/>
  <c r="R152"/>
  <c r="R156"/>
  <c r="R160"/>
  <c r="R205"/>
  <c r="R209"/>
  <c r="R219"/>
  <c r="R57"/>
  <c r="R272"/>
  <c r="W117"/>
  <c r="P117"/>
  <c r="P28"/>
  <c r="W28"/>
  <c r="W445"/>
  <c r="P445"/>
  <c r="R445" s="1"/>
  <c r="W259"/>
  <c r="P259"/>
  <c r="W255"/>
  <c r="P255"/>
  <c r="C275"/>
  <c r="C276" s="1"/>
  <c r="C277" s="1"/>
  <c r="C278" s="1"/>
  <c r="C279" s="1"/>
  <c r="C280" s="1"/>
  <c r="C281" s="1"/>
  <c r="C282" s="1"/>
  <c r="C283" s="1"/>
  <c r="C284" s="1"/>
  <c r="C285" s="1"/>
  <c r="C286" s="1"/>
  <c r="C287" s="1"/>
  <c r="C288" s="1"/>
  <c r="C289" s="1"/>
  <c r="C290" s="1"/>
  <c r="C291" s="1"/>
  <c r="C292" s="1"/>
  <c r="C293" s="1"/>
  <c r="C294" s="1"/>
  <c r="C295" s="1"/>
  <c r="C296" s="1"/>
  <c r="K308"/>
  <c r="W303"/>
  <c r="P303"/>
  <c r="W294"/>
  <c r="P294"/>
  <c r="W286"/>
  <c r="P286"/>
  <c r="M8" i="6"/>
  <c r="D27"/>
  <c r="D31" s="1"/>
  <c r="R446" i="5"/>
  <c r="R99"/>
  <c r="R73"/>
  <c r="R71"/>
  <c r="R63"/>
  <c r="R19"/>
  <c r="R20"/>
  <c r="R28"/>
  <c r="R30"/>
  <c r="R22"/>
  <c r="Q259"/>
  <c r="R259" s="1"/>
  <c r="Q257"/>
  <c r="R257" s="1"/>
  <c r="Q255"/>
  <c r="R255" s="1"/>
  <c r="R299"/>
  <c r="O304"/>
  <c r="O300"/>
  <c r="O295"/>
  <c r="O291"/>
  <c r="O287"/>
  <c r="O283"/>
  <c r="O279"/>
  <c r="O275"/>
  <c r="R15"/>
  <c r="Q443"/>
  <c r="Q143"/>
  <c r="Q117"/>
  <c r="Q113"/>
  <c r="Q100"/>
  <c r="R100" s="1"/>
  <c r="Q16"/>
  <c r="P443"/>
  <c r="R443" s="1"/>
  <c r="P115"/>
  <c r="R115" s="1"/>
  <c r="P16"/>
  <c r="O449"/>
  <c r="F22" i="6" s="1"/>
  <c r="P20" i="5"/>
  <c r="Q27"/>
  <c r="R27" s="1"/>
  <c r="P29"/>
  <c r="R29" s="1"/>
  <c r="R32"/>
  <c r="R36"/>
  <c r="P58"/>
  <c r="R58" s="1"/>
  <c r="P62"/>
  <c r="R62" s="1"/>
  <c r="Q66"/>
  <c r="R66" s="1"/>
  <c r="R232"/>
  <c r="R236"/>
  <c r="R240"/>
  <c r="R241"/>
  <c r="R242"/>
  <c r="R243"/>
  <c r="R244"/>
  <c r="R245"/>
  <c r="R246"/>
  <c r="R247"/>
  <c r="R248"/>
  <c r="R249"/>
  <c r="R250"/>
  <c r="R251"/>
  <c r="R252"/>
  <c r="R253"/>
  <c r="R254"/>
  <c r="R261"/>
  <c r="R262"/>
  <c r="R263"/>
  <c r="R273"/>
  <c r="R277"/>
  <c r="R281"/>
  <c r="R285"/>
  <c r="R286"/>
  <c r="R288"/>
  <c r="R289"/>
  <c r="R290"/>
  <c r="R292"/>
  <c r="R293"/>
  <c r="R294"/>
  <c r="R296"/>
  <c r="R303"/>
  <c r="O148"/>
  <c r="O144"/>
  <c r="O118"/>
  <c r="O114"/>
  <c r="O110"/>
  <c r="O106"/>
  <c r="O102"/>
  <c r="O48"/>
  <c r="O18"/>
  <c r="O14"/>
  <c r="O50" s="1"/>
  <c r="O21"/>
  <c r="O25"/>
  <c r="O24"/>
  <c r="O23"/>
  <c r="O91"/>
  <c r="O68"/>
  <c r="O64"/>
  <c r="O60"/>
  <c r="O56"/>
  <c r="O220"/>
  <c r="O195"/>
  <c r="O191"/>
  <c r="O187"/>
  <c r="O239"/>
  <c r="O235"/>
  <c r="O231"/>
  <c r="K223"/>
  <c r="Q131"/>
  <c r="R131" s="1"/>
  <c r="P130"/>
  <c r="R130" s="1"/>
  <c r="Q129"/>
  <c r="R129" s="1"/>
  <c r="P128"/>
  <c r="R128" s="1"/>
  <c r="Q127"/>
  <c r="R127" s="1"/>
  <c r="P126"/>
  <c r="R126" s="1"/>
  <c r="Q125"/>
  <c r="R125" s="1"/>
  <c r="P124"/>
  <c r="R124" s="1"/>
  <c r="Q123"/>
  <c r="R123" s="1"/>
  <c r="P122"/>
  <c r="R122" s="1"/>
  <c r="P164"/>
  <c r="R164" s="1"/>
  <c r="Q173"/>
  <c r="Q171"/>
  <c r="Q169"/>
  <c r="Q216"/>
  <c r="Q214"/>
  <c r="Q212"/>
  <c r="R260"/>
  <c r="R258"/>
  <c r="R256"/>
  <c r="F29" i="6"/>
  <c r="H29" s="1"/>
  <c r="C56" i="5"/>
  <c r="C9" i="6"/>
  <c r="L9" s="1"/>
  <c r="C99" i="5"/>
  <c r="C10" i="6"/>
  <c r="L10" s="1"/>
  <c r="O179" i="5"/>
  <c r="O136"/>
  <c r="O93"/>
  <c r="M435"/>
  <c r="M434"/>
  <c r="O434" s="1"/>
  <c r="M433"/>
  <c r="Q433" s="1"/>
  <c r="M432"/>
  <c r="O432" s="1"/>
  <c r="M431"/>
  <c r="Q431" s="1"/>
  <c r="M430"/>
  <c r="O430" s="1"/>
  <c r="M429"/>
  <c r="Q429" s="1"/>
  <c r="M428"/>
  <c r="O428" s="1"/>
  <c r="M427"/>
  <c r="Q427" s="1"/>
  <c r="M426"/>
  <c r="O426" s="1"/>
  <c r="M417"/>
  <c r="Q417" s="1"/>
  <c r="M416"/>
  <c r="O416" s="1"/>
  <c r="M415"/>
  <c r="Q415" s="1"/>
  <c r="M414"/>
  <c r="O414" s="1"/>
  <c r="M413"/>
  <c r="Q413" s="1"/>
  <c r="M412"/>
  <c r="O412" s="1"/>
  <c r="M411"/>
  <c r="Q411" s="1"/>
  <c r="M410"/>
  <c r="O410" s="1"/>
  <c r="M409"/>
  <c r="Q409" s="1"/>
  <c r="M408"/>
  <c r="O408" s="1"/>
  <c r="M399"/>
  <c r="Q399" s="1"/>
  <c r="M398"/>
  <c r="O398" s="1"/>
  <c r="M397"/>
  <c r="Q397" s="1"/>
  <c r="M396"/>
  <c r="O396" s="1"/>
  <c r="M395"/>
  <c r="Q395" s="1"/>
  <c r="M394"/>
  <c r="O394" s="1"/>
  <c r="M393"/>
  <c r="Q393" s="1"/>
  <c r="M392"/>
  <c r="O392" s="1"/>
  <c r="M391"/>
  <c r="Q391" s="1"/>
  <c r="M390"/>
  <c r="O390" s="1"/>
  <c r="M381"/>
  <c r="Q381" s="1"/>
  <c r="M380"/>
  <c r="O380" s="1"/>
  <c r="M379"/>
  <c r="Q379" s="1"/>
  <c r="M378"/>
  <c r="O378" s="1"/>
  <c r="M377"/>
  <c r="O377" s="1"/>
  <c r="M376"/>
  <c r="O376" s="1"/>
  <c r="M375"/>
  <c r="O375" s="1"/>
  <c r="M374"/>
  <c r="O374" s="1"/>
  <c r="M373"/>
  <c r="O373" s="1"/>
  <c r="M372"/>
  <c r="O372" s="1"/>
  <c r="M363"/>
  <c r="O363" s="1"/>
  <c r="M362"/>
  <c r="O362" s="1"/>
  <c r="M361"/>
  <c r="O361" s="1"/>
  <c r="M360"/>
  <c r="O360" s="1"/>
  <c r="M359"/>
  <c r="O359" s="1"/>
  <c r="M358"/>
  <c r="O358" s="1"/>
  <c r="M357"/>
  <c r="O357" s="1"/>
  <c r="M356"/>
  <c r="O356" s="1"/>
  <c r="M355"/>
  <c r="O355" s="1"/>
  <c r="M354"/>
  <c r="O354" s="1"/>
  <c r="M345"/>
  <c r="O345" s="1"/>
  <c r="M344"/>
  <c r="O344" s="1"/>
  <c r="M343"/>
  <c r="O343" s="1"/>
  <c r="M342"/>
  <c r="O342" s="1"/>
  <c r="M341"/>
  <c r="O341" s="1"/>
  <c r="M340"/>
  <c r="O340" s="1"/>
  <c r="M339"/>
  <c r="O339" s="1"/>
  <c r="M338"/>
  <c r="O338" s="1"/>
  <c r="M337"/>
  <c r="O337" s="1"/>
  <c r="M336"/>
  <c r="O336" s="1"/>
  <c r="M327"/>
  <c r="O327" s="1"/>
  <c r="M326"/>
  <c r="O326" s="1"/>
  <c r="M325"/>
  <c r="O325" s="1"/>
  <c r="M324"/>
  <c r="O324" s="1"/>
  <c r="M323"/>
  <c r="O323" s="1"/>
  <c r="M322"/>
  <c r="O322" s="1"/>
  <c r="M321"/>
  <c r="O321" s="1"/>
  <c r="M320"/>
  <c r="O320" s="1"/>
  <c r="M319"/>
  <c r="O319" s="1"/>
  <c r="M318"/>
  <c r="O318" s="1"/>
  <c r="C22"/>
  <c r="C23" s="1"/>
  <c r="C24" s="1"/>
  <c r="C25" s="1"/>
  <c r="C26" s="1"/>
  <c r="C27" s="1"/>
  <c r="C28" s="1"/>
  <c r="C29" s="1"/>
  <c r="C30" s="1"/>
  <c r="C31" s="1"/>
  <c r="C32" s="1"/>
  <c r="C33" s="1"/>
  <c r="C34" s="1"/>
  <c r="C35" s="1"/>
  <c r="C36" s="1"/>
  <c r="C37" s="1"/>
  <c r="C38" s="1"/>
  <c r="C39" s="1"/>
  <c r="C40" s="1"/>
  <c r="C41" s="1"/>
  <c r="C42" s="1"/>
  <c r="C43" s="1"/>
  <c r="C44" s="1"/>
  <c r="C45" s="1"/>
  <c r="C46" s="1"/>
  <c r="C47" s="1"/>
  <c r="C48" s="1"/>
  <c r="C15" i="3"/>
  <c r="P177" i="5"/>
  <c r="P175"/>
  <c r="Q319"/>
  <c r="Q321"/>
  <c r="Q322"/>
  <c r="Q323"/>
  <c r="Q324"/>
  <c r="Q325"/>
  <c r="Q326"/>
  <c r="Q327"/>
  <c r="Q336"/>
  <c r="Q337"/>
  <c r="Q338"/>
  <c r="Q339"/>
  <c r="Q340"/>
  <c r="Q341"/>
  <c r="Q342"/>
  <c r="Q343"/>
  <c r="Q344"/>
  <c r="Q345"/>
  <c r="Q354"/>
  <c r="Q355"/>
  <c r="Q356"/>
  <c r="Q357"/>
  <c r="Q358"/>
  <c r="Q359"/>
  <c r="Q360"/>
  <c r="Q361"/>
  <c r="Q362"/>
  <c r="Q363"/>
  <c r="Q372"/>
  <c r="Q373"/>
  <c r="Q374"/>
  <c r="Q375"/>
  <c r="Q376"/>
  <c r="Q377"/>
  <c r="Q378"/>
  <c r="Q380"/>
  <c r="Q390"/>
  <c r="Q392"/>
  <c r="Q394"/>
  <c r="Q396"/>
  <c r="Q398"/>
  <c r="Q408"/>
  <c r="Q410"/>
  <c r="Q412"/>
  <c r="Q414"/>
  <c r="Q416"/>
  <c r="Q426"/>
  <c r="Q428"/>
  <c r="Q430"/>
  <c r="Q432"/>
  <c r="Q434"/>
  <c r="Q435"/>
  <c r="O435"/>
  <c r="O229"/>
  <c r="O265" s="1"/>
  <c r="N265"/>
  <c r="N266" s="1"/>
  <c r="M28" i="6"/>
  <c r="C319" i="5"/>
  <c r="C320" s="1"/>
  <c r="C321" s="1"/>
  <c r="C322" s="1"/>
  <c r="C323" s="1"/>
  <c r="C324" s="1"/>
  <c r="C325" s="1"/>
  <c r="C326" s="1"/>
  <c r="C327" s="1"/>
  <c r="P217"/>
  <c r="R217" s="1"/>
  <c r="W217"/>
  <c r="P216"/>
  <c r="R216" s="1"/>
  <c r="W216"/>
  <c r="P215"/>
  <c r="R215" s="1"/>
  <c r="W215"/>
  <c r="P214"/>
  <c r="R214" s="1"/>
  <c r="W214"/>
  <c r="P213"/>
  <c r="R213" s="1"/>
  <c r="W213"/>
  <c r="P212"/>
  <c r="R212" s="1"/>
  <c r="W212"/>
  <c r="W167"/>
  <c r="W166"/>
  <c r="W165"/>
  <c r="P300"/>
  <c r="R300" s="1"/>
  <c r="W300"/>
  <c r="O307"/>
  <c r="A22"/>
  <c r="A24" s="1"/>
  <c r="A23"/>
  <c r="P302"/>
  <c r="R302" s="1"/>
  <c r="W302"/>
  <c r="P298"/>
  <c r="R298" s="1"/>
  <c r="W298"/>
  <c r="K180"/>
  <c r="Q177"/>
  <c r="Q175"/>
  <c r="P174"/>
  <c r="R174" s="1"/>
  <c r="P173"/>
  <c r="R173" s="1"/>
  <c r="P172"/>
  <c r="R172" s="1"/>
  <c r="P171"/>
  <c r="R171" s="1"/>
  <c r="P170"/>
  <c r="R170" s="1"/>
  <c r="P169"/>
  <c r="R169" s="1"/>
  <c r="P168"/>
  <c r="R168" s="1"/>
  <c r="P166"/>
  <c r="R166" s="1"/>
  <c r="D24" i="6"/>
  <c r="S255" i="5" s="1"/>
  <c r="P235" l="1"/>
  <c r="R235" s="1"/>
  <c r="W235"/>
  <c r="W187"/>
  <c r="P187"/>
  <c r="R187" s="1"/>
  <c r="W195"/>
  <c r="P195"/>
  <c r="R195" s="1"/>
  <c r="P56"/>
  <c r="R56" s="1"/>
  <c r="W56"/>
  <c r="W64"/>
  <c r="P64"/>
  <c r="R64" s="1"/>
  <c r="W91"/>
  <c r="P91"/>
  <c r="R91" s="1"/>
  <c r="W24"/>
  <c r="P24"/>
  <c r="R24" s="1"/>
  <c r="W21"/>
  <c r="P21"/>
  <c r="R21" s="1"/>
  <c r="W18"/>
  <c r="P18"/>
  <c r="R18" s="1"/>
  <c r="W102"/>
  <c r="P102"/>
  <c r="R102" s="1"/>
  <c r="W110"/>
  <c r="P110"/>
  <c r="R110" s="1"/>
  <c r="P118"/>
  <c r="R118" s="1"/>
  <c r="W118"/>
  <c r="P148"/>
  <c r="R148" s="1"/>
  <c r="W148"/>
  <c r="P275"/>
  <c r="R275" s="1"/>
  <c r="W275"/>
  <c r="P283"/>
  <c r="R283" s="1"/>
  <c r="W283"/>
  <c r="W291"/>
  <c r="P291"/>
  <c r="R291" s="1"/>
  <c r="Q30" i="6"/>
  <c r="H30"/>
  <c r="P447" i="5"/>
  <c r="R447" s="1"/>
  <c r="W447"/>
  <c r="Q320"/>
  <c r="Q318"/>
  <c r="R16"/>
  <c r="R117"/>
  <c r="P231"/>
  <c r="R231" s="1"/>
  <c r="W231"/>
  <c r="P239"/>
  <c r="R239" s="1"/>
  <c r="W239"/>
  <c r="W191"/>
  <c r="P191"/>
  <c r="R191" s="1"/>
  <c r="W220"/>
  <c r="P220"/>
  <c r="R220" s="1"/>
  <c r="W60"/>
  <c r="P60"/>
  <c r="R60" s="1"/>
  <c r="W68"/>
  <c r="P68"/>
  <c r="R68" s="1"/>
  <c r="W23"/>
  <c r="P23"/>
  <c r="R23" s="1"/>
  <c r="W25"/>
  <c r="P25"/>
  <c r="R25" s="1"/>
  <c r="W14"/>
  <c r="P14"/>
  <c r="R14" s="1"/>
  <c r="W48"/>
  <c r="P48"/>
  <c r="R48" s="1"/>
  <c r="W106"/>
  <c r="P106"/>
  <c r="R106" s="1"/>
  <c r="P114"/>
  <c r="R114" s="1"/>
  <c r="W114"/>
  <c r="W144"/>
  <c r="P144"/>
  <c r="R144" s="1"/>
  <c r="P279"/>
  <c r="R279" s="1"/>
  <c r="W279"/>
  <c r="W287"/>
  <c r="P287"/>
  <c r="R287" s="1"/>
  <c r="W295"/>
  <c r="P295"/>
  <c r="R295" s="1"/>
  <c r="W304"/>
  <c r="P304"/>
  <c r="R304" s="1"/>
  <c r="M27" i="6"/>
  <c r="M24"/>
  <c r="C297" i="5"/>
  <c r="C298" s="1"/>
  <c r="C299" s="1"/>
  <c r="C300" s="1"/>
  <c r="C301" s="1"/>
  <c r="C302" s="1"/>
  <c r="C303"/>
  <c r="C304" s="1"/>
  <c r="C305" s="1"/>
  <c r="M31" i="6"/>
  <c r="O222" i="5"/>
  <c r="R113"/>
  <c r="R143"/>
  <c r="A25"/>
  <c r="S297"/>
  <c r="S299"/>
  <c r="S301"/>
  <c r="S168"/>
  <c r="S169"/>
  <c r="S170"/>
  <c r="S171"/>
  <c r="S172"/>
  <c r="S173"/>
  <c r="S174"/>
  <c r="S176"/>
  <c r="S38"/>
  <c r="S39"/>
  <c r="S40"/>
  <c r="S41"/>
  <c r="S42"/>
  <c r="S43"/>
  <c r="S304"/>
  <c r="S284"/>
  <c r="S282"/>
  <c r="S280"/>
  <c r="S278"/>
  <c r="S276"/>
  <c r="S274"/>
  <c r="S272"/>
  <c r="S270"/>
  <c r="S239"/>
  <c r="S237"/>
  <c r="S235"/>
  <c r="S233"/>
  <c r="S231"/>
  <c r="S305"/>
  <c r="S303"/>
  <c r="S295"/>
  <c r="S293"/>
  <c r="S291"/>
  <c r="S289"/>
  <c r="S287"/>
  <c r="S285"/>
  <c r="S283"/>
  <c r="S281"/>
  <c r="S279"/>
  <c r="S277"/>
  <c r="S275"/>
  <c r="S273"/>
  <c r="S271"/>
  <c r="S263"/>
  <c r="S261"/>
  <c r="S253"/>
  <c r="S251"/>
  <c r="S249"/>
  <c r="S247"/>
  <c r="S245"/>
  <c r="S243"/>
  <c r="S241"/>
  <c r="S75"/>
  <c r="S64"/>
  <c r="S58"/>
  <c r="S35"/>
  <c r="S33"/>
  <c r="S31"/>
  <c r="S445"/>
  <c r="S27"/>
  <c r="S26"/>
  <c r="S24"/>
  <c r="S23"/>
  <c r="S20"/>
  <c r="S21"/>
  <c r="S296"/>
  <c r="S294"/>
  <c r="S292"/>
  <c r="S290"/>
  <c r="S288"/>
  <c r="S286"/>
  <c r="S262"/>
  <c r="S254"/>
  <c r="S252"/>
  <c r="S250"/>
  <c r="S248"/>
  <c r="S246"/>
  <c r="S244"/>
  <c r="S242"/>
  <c r="S240"/>
  <c r="S238"/>
  <c r="S236"/>
  <c r="S234"/>
  <c r="S232"/>
  <c r="S230"/>
  <c r="S228"/>
  <c r="S66"/>
  <c r="S62"/>
  <c r="S36"/>
  <c r="S34"/>
  <c r="S32"/>
  <c r="S30"/>
  <c r="S29"/>
  <c r="S28"/>
  <c r="S25"/>
  <c r="S69"/>
  <c r="S22"/>
  <c r="S13"/>
  <c r="S99"/>
  <c r="H23" i="6"/>
  <c r="S447" i="5"/>
  <c r="S14"/>
  <c r="S16"/>
  <c r="S56"/>
  <c r="S59"/>
  <c r="S61"/>
  <c r="S70"/>
  <c r="S72"/>
  <c r="S74"/>
  <c r="S112"/>
  <c r="S114"/>
  <c r="S116"/>
  <c r="S118"/>
  <c r="S142"/>
  <c r="S144"/>
  <c r="S186"/>
  <c r="S200"/>
  <c r="S202"/>
  <c r="S204"/>
  <c r="S219"/>
  <c r="S211"/>
  <c r="S209"/>
  <c r="S207"/>
  <c r="S205"/>
  <c r="S197"/>
  <c r="S195"/>
  <c r="S193"/>
  <c r="S191"/>
  <c r="S189"/>
  <c r="S187"/>
  <c r="S162"/>
  <c r="S160"/>
  <c r="S158"/>
  <c r="S156"/>
  <c r="S154"/>
  <c r="S152"/>
  <c r="S150"/>
  <c r="S148"/>
  <c r="S146"/>
  <c r="S134"/>
  <c r="S132"/>
  <c r="S120"/>
  <c r="S110"/>
  <c r="S108"/>
  <c r="S106"/>
  <c r="S104"/>
  <c r="S102"/>
  <c r="S91"/>
  <c r="S89"/>
  <c r="S77"/>
  <c r="S68"/>
  <c r="S65"/>
  <c r="S47"/>
  <c r="S45"/>
  <c r="S37"/>
  <c r="S17"/>
  <c r="S443"/>
  <c r="Q23" i="6"/>
  <c r="S446" i="5"/>
  <c r="S19"/>
  <c r="S60"/>
  <c r="S63"/>
  <c r="S73"/>
  <c r="S113"/>
  <c r="S117"/>
  <c r="S143"/>
  <c r="S199"/>
  <c r="S203"/>
  <c r="S218"/>
  <c r="S208"/>
  <c r="S198"/>
  <c r="S196"/>
  <c r="S192"/>
  <c r="S188"/>
  <c r="S161"/>
  <c r="S157"/>
  <c r="S151"/>
  <c r="S147"/>
  <c r="S145"/>
  <c r="S121"/>
  <c r="S109"/>
  <c r="S105"/>
  <c r="S101"/>
  <c r="S78"/>
  <c r="S67"/>
  <c r="S46"/>
  <c r="S18"/>
  <c r="S15"/>
  <c r="S57"/>
  <c r="S71"/>
  <c r="S100"/>
  <c r="S115"/>
  <c r="S119"/>
  <c r="S185"/>
  <c r="S201"/>
  <c r="S220"/>
  <c r="S210"/>
  <c r="S206"/>
  <c r="S194"/>
  <c r="S190"/>
  <c r="S163"/>
  <c r="S159"/>
  <c r="S155"/>
  <c r="S153"/>
  <c r="S149"/>
  <c r="S133"/>
  <c r="S111"/>
  <c r="S107"/>
  <c r="S103"/>
  <c r="S90"/>
  <c r="S76"/>
  <c r="S48"/>
  <c r="S44"/>
  <c r="F14" i="6"/>
  <c r="O308" i="5"/>
  <c r="S229"/>
  <c r="W229"/>
  <c r="P229"/>
  <c r="R229" s="1"/>
  <c r="G15" i="3"/>
  <c r="F15"/>
  <c r="D15"/>
  <c r="M15"/>
  <c r="K15"/>
  <c r="M6" i="1" s="1"/>
  <c r="R15" i="3"/>
  <c r="P15"/>
  <c r="N15"/>
  <c r="E15"/>
  <c r="Q15"/>
  <c r="O15"/>
  <c r="I15"/>
  <c r="H15"/>
  <c r="D6" i="1" s="1"/>
  <c r="J15" i="3"/>
  <c r="L6" i="1" s="1"/>
  <c r="O329" i="5"/>
  <c r="W318"/>
  <c r="S318"/>
  <c r="P318"/>
  <c r="R318" s="1"/>
  <c r="S320"/>
  <c r="P320"/>
  <c r="R320" s="1"/>
  <c r="W320"/>
  <c r="W322"/>
  <c r="S322"/>
  <c r="P322"/>
  <c r="R322" s="1"/>
  <c r="W324"/>
  <c r="P324"/>
  <c r="R324" s="1"/>
  <c r="S324"/>
  <c r="W326"/>
  <c r="S326"/>
  <c r="P326"/>
  <c r="R326" s="1"/>
  <c r="W336"/>
  <c r="O347"/>
  <c r="S336"/>
  <c r="P336"/>
  <c r="R336" s="1"/>
  <c r="P338"/>
  <c r="R338" s="1"/>
  <c r="W338"/>
  <c r="S338"/>
  <c r="P340"/>
  <c r="R340" s="1"/>
  <c r="W340"/>
  <c r="S340"/>
  <c r="W342"/>
  <c r="S342"/>
  <c r="P342"/>
  <c r="R342" s="1"/>
  <c r="W344"/>
  <c r="S344"/>
  <c r="P344"/>
  <c r="R344" s="1"/>
  <c r="O365"/>
  <c r="W354"/>
  <c r="S354"/>
  <c r="P354"/>
  <c r="R354" s="1"/>
  <c r="W356"/>
  <c r="S356"/>
  <c r="P356"/>
  <c r="R356" s="1"/>
  <c r="W358"/>
  <c r="S358"/>
  <c r="P358"/>
  <c r="R358" s="1"/>
  <c r="W360"/>
  <c r="S360"/>
  <c r="P360"/>
  <c r="R360" s="1"/>
  <c r="W362"/>
  <c r="S362"/>
  <c r="P362"/>
  <c r="R362" s="1"/>
  <c r="W372"/>
  <c r="S372"/>
  <c r="P372"/>
  <c r="R372" s="1"/>
  <c r="W374"/>
  <c r="S374"/>
  <c r="P374"/>
  <c r="R374" s="1"/>
  <c r="W376"/>
  <c r="S376"/>
  <c r="P376"/>
  <c r="R376" s="1"/>
  <c r="W378"/>
  <c r="S378"/>
  <c r="P378"/>
  <c r="R378" s="1"/>
  <c r="W380"/>
  <c r="S380"/>
  <c r="P380"/>
  <c r="R380" s="1"/>
  <c r="W390"/>
  <c r="S390"/>
  <c r="P390"/>
  <c r="R390" s="1"/>
  <c r="W392"/>
  <c r="S392"/>
  <c r="P392"/>
  <c r="R392" s="1"/>
  <c r="W394"/>
  <c r="S394"/>
  <c r="P394"/>
  <c r="R394" s="1"/>
  <c r="W396"/>
  <c r="S396"/>
  <c r="P396"/>
  <c r="R396" s="1"/>
  <c r="W398"/>
  <c r="S398"/>
  <c r="P398"/>
  <c r="R398" s="1"/>
  <c r="W408"/>
  <c r="S408"/>
  <c r="P408"/>
  <c r="R408" s="1"/>
  <c r="W410"/>
  <c r="S410"/>
  <c r="P410"/>
  <c r="R410" s="1"/>
  <c r="W412"/>
  <c r="S412"/>
  <c r="P412"/>
  <c r="R412" s="1"/>
  <c r="W414"/>
  <c r="S414"/>
  <c r="P414"/>
  <c r="R414" s="1"/>
  <c r="W416"/>
  <c r="S416"/>
  <c r="P416"/>
  <c r="R416" s="1"/>
  <c r="W426"/>
  <c r="S426"/>
  <c r="P426"/>
  <c r="R426" s="1"/>
  <c r="W428"/>
  <c r="S428"/>
  <c r="P428"/>
  <c r="R428" s="1"/>
  <c r="W430"/>
  <c r="S430"/>
  <c r="P430"/>
  <c r="R430" s="1"/>
  <c r="W432"/>
  <c r="S432"/>
  <c r="P432"/>
  <c r="R432" s="1"/>
  <c r="W434"/>
  <c r="S434"/>
  <c r="P434"/>
  <c r="R434" s="1"/>
  <c r="F9" i="6"/>
  <c r="O94" i="5"/>
  <c r="F11" i="6"/>
  <c r="O180" i="5"/>
  <c r="C100"/>
  <c r="C101" s="1"/>
  <c r="C102" s="1"/>
  <c r="C103" s="1"/>
  <c r="C104" s="1"/>
  <c r="C105" s="1"/>
  <c r="C106" s="1"/>
  <c r="C107" s="1"/>
  <c r="C108" s="1"/>
  <c r="C109" s="1"/>
  <c r="C110" s="1"/>
  <c r="C111" s="1"/>
  <c r="C112" s="1"/>
  <c r="C113" s="1"/>
  <c r="C114" s="1"/>
  <c r="C115" s="1"/>
  <c r="C116" s="1"/>
  <c r="C117" s="1"/>
  <c r="C118" s="1"/>
  <c r="C119" s="1"/>
  <c r="C120" s="1"/>
  <c r="C121" s="1"/>
  <c r="C122" s="1"/>
  <c r="C123" s="1"/>
  <c r="C124" s="1"/>
  <c r="C125" s="1"/>
  <c r="C126" s="1"/>
  <c r="C127" s="1"/>
  <c r="C128" s="1"/>
  <c r="C129" s="1"/>
  <c r="C130" s="1"/>
  <c r="C131" s="1"/>
  <c r="C132" s="1"/>
  <c r="C133" s="1"/>
  <c r="C134" s="1"/>
  <c r="K137"/>
  <c r="E8"/>
  <c r="C57"/>
  <c r="C58" s="1"/>
  <c r="C59" s="1"/>
  <c r="C60" s="1"/>
  <c r="C61" s="1"/>
  <c r="C62" s="1"/>
  <c r="C63" s="1"/>
  <c r="C64" s="1"/>
  <c r="C65" s="1"/>
  <c r="C66" s="1"/>
  <c r="C67" s="1"/>
  <c r="C68" s="1"/>
  <c r="C69" s="1"/>
  <c r="C70" s="1"/>
  <c r="C71" s="1"/>
  <c r="C72" s="1"/>
  <c r="C73" s="1"/>
  <c r="C74" s="1"/>
  <c r="C75" s="1"/>
  <c r="C76" s="1"/>
  <c r="C77" s="1"/>
  <c r="C78" s="1"/>
  <c r="K94"/>
  <c r="D8"/>
  <c r="S124"/>
  <c r="S256"/>
  <c r="S258"/>
  <c r="S260"/>
  <c r="S164"/>
  <c r="S123"/>
  <c r="S125"/>
  <c r="S127"/>
  <c r="S129"/>
  <c r="S131"/>
  <c r="S80"/>
  <c r="S82"/>
  <c r="S84"/>
  <c r="S86"/>
  <c r="S88"/>
  <c r="S298"/>
  <c r="S212"/>
  <c r="S214"/>
  <c r="S216"/>
  <c r="R175"/>
  <c r="R177"/>
  <c r="O433"/>
  <c r="O431"/>
  <c r="O429"/>
  <c r="O427"/>
  <c r="O437" s="1"/>
  <c r="O417"/>
  <c r="O415"/>
  <c r="O413"/>
  <c r="O411"/>
  <c r="O409"/>
  <c r="O399"/>
  <c r="O397"/>
  <c r="O395"/>
  <c r="O393"/>
  <c r="O391"/>
  <c r="O401" s="1"/>
  <c r="O381"/>
  <c r="O379"/>
  <c r="O383" s="1"/>
  <c r="H22" i="6"/>
  <c r="C16" i="3"/>
  <c r="C17"/>
  <c r="C18"/>
  <c r="C19"/>
  <c r="F13" i="6"/>
  <c r="O266" i="5"/>
  <c r="P435"/>
  <c r="R435" s="1"/>
  <c r="W435"/>
  <c r="S435"/>
  <c r="W319"/>
  <c r="S319"/>
  <c r="P319"/>
  <c r="R319" s="1"/>
  <c r="W321"/>
  <c r="S321"/>
  <c r="P321"/>
  <c r="R321" s="1"/>
  <c r="S323"/>
  <c r="W323"/>
  <c r="P323"/>
  <c r="R323" s="1"/>
  <c r="P325"/>
  <c r="R325" s="1"/>
  <c r="S325"/>
  <c r="W325"/>
  <c r="P327"/>
  <c r="R327" s="1"/>
  <c r="S327"/>
  <c r="W327"/>
  <c r="W337"/>
  <c r="S337"/>
  <c r="P337"/>
  <c r="R337" s="1"/>
  <c r="W339"/>
  <c r="S339"/>
  <c r="P339"/>
  <c r="R339" s="1"/>
  <c r="W341"/>
  <c r="S341"/>
  <c r="P341"/>
  <c r="R341" s="1"/>
  <c r="P343"/>
  <c r="R343" s="1"/>
  <c r="W343"/>
  <c r="S343"/>
  <c r="P345"/>
  <c r="R345" s="1"/>
  <c r="W345"/>
  <c r="S345"/>
  <c r="P355"/>
  <c r="R355" s="1"/>
  <c r="W355"/>
  <c r="S355"/>
  <c r="P357"/>
  <c r="R357" s="1"/>
  <c r="W357"/>
  <c r="S357"/>
  <c r="P359"/>
  <c r="R359" s="1"/>
  <c r="W359"/>
  <c r="S359"/>
  <c r="P361"/>
  <c r="R361" s="1"/>
  <c r="W361"/>
  <c r="S361"/>
  <c r="P363"/>
  <c r="R363" s="1"/>
  <c r="W363"/>
  <c r="S363"/>
  <c r="P373"/>
  <c r="R373" s="1"/>
  <c r="W373"/>
  <c r="S373"/>
  <c r="P375"/>
  <c r="R375" s="1"/>
  <c r="W375"/>
  <c r="S375"/>
  <c r="P377"/>
  <c r="R377" s="1"/>
  <c r="W377"/>
  <c r="S377"/>
  <c r="F8" i="6"/>
  <c r="O51" i="5"/>
  <c r="F10" i="6"/>
  <c r="O137" i="5"/>
  <c r="S257"/>
  <c r="S259"/>
  <c r="S122"/>
  <c r="S126"/>
  <c r="S128"/>
  <c r="S130"/>
  <c r="S79"/>
  <c r="S81"/>
  <c r="S83"/>
  <c r="S85"/>
  <c r="S87"/>
  <c r="S302"/>
  <c r="S300"/>
  <c r="S165"/>
  <c r="S166"/>
  <c r="S167"/>
  <c r="S213"/>
  <c r="S215"/>
  <c r="S217"/>
  <c r="S175"/>
  <c r="S177"/>
  <c r="F12" i="6" l="1"/>
  <c r="O223" i="5"/>
  <c r="F18" i="6"/>
  <c r="O384" i="5"/>
  <c r="F21" i="6"/>
  <c r="O438" i="5"/>
  <c r="F19" i="6"/>
  <c r="O402" i="5"/>
  <c r="E13" i="6"/>
  <c r="H13"/>
  <c r="G19" i="3"/>
  <c r="K19"/>
  <c r="M10" i="1" s="1"/>
  <c r="F19" i="3"/>
  <c r="D19"/>
  <c r="M19"/>
  <c r="L19"/>
  <c r="N10" i="1" s="1"/>
  <c r="R19" i="3"/>
  <c r="Q19"/>
  <c r="P19"/>
  <c r="N19"/>
  <c r="H10" i="1" s="1"/>
  <c r="E19" i="3"/>
  <c r="O19"/>
  <c r="H19"/>
  <c r="D10" i="1" s="1"/>
  <c r="I19" i="3"/>
  <c r="K10" i="1" s="1"/>
  <c r="G17" i="3"/>
  <c r="F17"/>
  <c r="D17"/>
  <c r="M17"/>
  <c r="E17"/>
  <c r="R17"/>
  <c r="P17"/>
  <c r="N17"/>
  <c r="H8" i="1" s="1"/>
  <c r="K17" i="3"/>
  <c r="M8" i="1" s="1"/>
  <c r="Q17" i="3"/>
  <c r="O17"/>
  <c r="I17"/>
  <c r="K8" i="1" s="1"/>
  <c r="P381" i="5"/>
  <c r="R381" s="1"/>
  <c r="W381"/>
  <c r="S381"/>
  <c r="P393"/>
  <c r="R393" s="1"/>
  <c r="W393"/>
  <c r="S393"/>
  <c r="P397"/>
  <c r="R397" s="1"/>
  <c r="W397"/>
  <c r="S397"/>
  <c r="P409"/>
  <c r="R409" s="1"/>
  <c r="W409"/>
  <c r="S409"/>
  <c r="P413"/>
  <c r="R413" s="1"/>
  <c r="W413"/>
  <c r="S413"/>
  <c r="P417"/>
  <c r="R417" s="1"/>
  <c r="W417"/>
  <c r="S417"/>
  <c r="P429"/>
  <c r="R429" s="1"/>
  <c r="W429"/>
  <c r="S429"/>
  <c r="P433"/>
  <c r="R433" s="1"/>
  <c r="W433"/>
  <c r="S433"/>
  <c r="E11" i="6"/>
  <c r="H11"/>
  <c r="E9"/>
  <c r="H9"/>
  <c r="F17"/>
  <c r="O366" i="5"/>
  <c r="F15" i="6"/>
  <c r="O330" i="5"/>
  <c r="O419"/>
  <c r="A26"/>
  <c r="E10" i="6"/>
  <c r="H10"/>
  <c r="E8"/>
  <c r="F27"/>
  <c r="H8"/>
  <c r="F18" i="3"/>
  <c r="D18"/>
  <c r="G18"/>
  <c r="E18"/>
  <c r="M18"/>
  <c r="O18"/>
  <c r="K18"/>
  <c r="M9" i="1" s="1"/>
  <c r="R18" i="3"/>
  <c r="Q18"/>
  <c r="P18"/>
  <c r="N18"/>
  <c r="H9" i="1" s="1"/>
  <c r="I18" i="3"/>
  <c r="K9" i="1" s="1"/>
  <c r="H18" i="3"/>
  <c r="D9" i="1" s="1"/>
  <c r="F16" i="3"/>
  <c r="D16"/>
  <c r="M16"/>
  <c r="E16"/>
  <c r="G16"/>
  <c r="K16"/>
  <c r="M7" i="1" s="1"/>
  <c r="Q16" i="3"/>
  <c r="O16"/>
  <c r="R16"/>
  <c r="P16"/>
  <c r="N16"/>
  <c r="H7" i="1" s="1"/>
  <c r="I16" i="3"/>
  <c r="K7" i="1" s="1"/>
  <c r="P379" i="5"/>
  <c r="R379" s="1"/>
  <c r="W379"/>
  <c r="S379"/>
  <c r="P391"/>
  <c r="R391" s="1"/>
  <c r="W391"/>
  <c r="S391"/>
  <c r="P395"/>
  <c r="R395" s="1"/>
  <c r="W395"/>
  <c r="S395"/>
  <c r="P399"/>
  <c r="R399" s="1"/>
  <c r="W399"/>
  <c r="S399"/>
  <c r="P411"/>
  <c r="R411" s="1"/>
  <c r="W411"/>
  <c r="S411"/>
  <c r="P415"/>
  <c r="R415" s="1"/>
  <c r="W415"/>
  <c r="S415"/>
  <c r="P427"/>
  <c r="R427" s="1"/>
  <c r="W427"/>
  <c r="S427"/>
  <c r="P431"/>
  <c r="R431" s="1"/>
  <c r="W431"/>
  <c r="S431"/>
  <c r="C79"/>
  <c r="C80" s="1"/>
  <c r="C81" s="1"/>
  <c r="C82" s="1"/>
  <c r="C83" s="1"/>
  <c r="C84" s="1"/>
  <c r="C85" s="1"/>
  <c r="C86" s="1"/>
  <c r="C87" s="1"/>
  <c r="C88" s="1"/>
  <c r="C89"/>
  <c r="C90" s="1"/>
  <c r="C91" s="1"/>
  <c r="F16" i="6"/>
  <c r="O348" i="5"/>
  <c r="J10" i="3"/>
  <c r="K6" i="1"/>
  <c r="H6"/>
  <c r="H14" i="6"/>
  <c r="E14"/>
  <c r="L15" i="3"/>
  <c r="N6" i="1" s="1"/>
  <c r="E12" i="6" l="1"/>
  <c r="H12"/>
  <c r="H16" i="3"/>
  <c r="D7" i="1" s="1"/>
  <c r="L16" i="3"/>
  <c r="N7" i="1" s="1"/>
  <c r="J18" i="3"/>
  <c r="L9" i="1" s="1"/>
  <c r="H17" i="3"/>
  <c r="D8" i="1" s="1"/>
  <c r="H16" i="6"/>
  <c r="E16"/>
  <c r="H27"/>
  <c r="A27" i="5"/>
  <c r="A28"/>
  <c r="C22" i="3"/>
  <c r="C20"/>
  <c r="C21"/>
  <c r="E15" i="6"/>
  <c r="H15"/>
  <c r="E17"/>
  <c r="H17"/>
  <c r="E19"/>
  <c r="H19"/>
  <c r="E21"/>
  <c r="H21"/>
  <c r="H18"/>
  <c r="E18"/>
  <c r="J16" i="3"/>
  <c r="L7" i="1" s="1"/>
  <c r="L18" i="3"/>
  <c r="N9" i="1" s="1"/>
  <c r="L17" i="3"/>
  <c r="N8" i="1" s="1"/>
  <c r="J19" i="3"/>
  <c r="L10" i="1" s="1"/>
  <c r="F20" i="6"/>
  <c r="O420" i="5"/>
  <c r="E27" i="6"/>
  <c r="J17" i="3"/>
  <c r="L8" i="1" s="1"/>
  <c r="H20" i="6" l="1"/>
  <c r="E20"/>
  <c r="G21" i="3"/>
  <c r="F21"/>
  <c r="D21"/>
  <c r="M21"/>
  <c r="K21"/>
  <c r="M12" i="1" s="1"/>
  <c r="E21" i="3"/>
  <c r="H21" s="1"/>
  <c r="D12" i="1" s="1"/>
  <c r="P21" i="3"/>
  <c r="N21"/>
  <c r="H12" i="1" s="1"/>
  <c r="R21" i="3"/>
  <c r="Q21"/>
  <c r="O21"/>
  <c r="I21"/>
  <c r="K12" i="1" s="1"/>
  <c r="F24" i="6"/>
  <c r="E28"/>
  <c r="F20" i="3"/>
  <c r="D20"/>
  <c r="G20"/>
  <c r="M20"/>
  <c r="E20"/>
  <c r="K20"/>
  <c r="M11" i="1" s="1"/>
  <c r="O20" i="3"/>
  <c r="R20"/>
  <c r="Q20"/>
  <c r="P20"/>
  <c r="N20"/>
  <c r="J20"/>
  <c r="L11" i="1" s="1"/>
  <c r="I20" i="3"/>
  <c r="K11" i="1" s="1"/>
  <c r="H20" i="3"/>
  <c r="D11" i="1" s="1"/>
  <c r="G22" i="3"/>
  <c r="D22"/>
  <c r="M22"/>
  <c r="K22"/>
  <c r="M13" i="1" s="1"/>
  <c r="E22" i="3"/>
  <c r="F22"/>
  <c r="Q22"/>
  <c r="P22"/>
  <c r="N22"/>
  <c r="H13" i="1" s="1"/>
  <c r="R22" i="3"/>
  <c r="O22"/>
  <c r="I22"/>
  <c r="K13" i="1" s="1"/>
  <c r="H22" i="3"/>
  <c r="D13" i="1" s="1"/>
  <c r="F28" i="6"/>
  <c r="A29" i="5"/>
  <c r="L22" i="3" l="1"/>
  <c r="N13" i="1" s="1"/>
  <c r="J22" i="3"/>
  <c r="L13" i="1" s="1"/>
  <c r="L20" i="3"/>
  <c r="N11" i="1" s="1"/>
  <c r="J21" i="3"/>
  <c r="L12" i="1" s="1"/>
  <c r="C23" i="3"/>
  <c r="A30" i="5"/>
  <c r="C24" i="3"/>
  <c r="H28" i="6"/>
  <c r="F31"/>
  <c r="H11" i="1"/>
  <c r="H24" i="6"/>
  <c r="E24"/>
  <c r="L21" i="3"/>
  <c r="N12" i="1" s="1"/>
  <c r="G24" i="3" l="1"/>
  <c r="F24"/>
  <c r="M24"/>
  <c r="E24"/>
  <c r="D24"/>
  <c r="K24"/>
  <c r="M15" i="1" s="1"/>
  <c r="R24" i="3"/>
  <c r="Q24"/>
  <c r="P24"/>
  <c r="N24"/>
  <c r="H15" i="1" s="1"/>
  <c r="O24" i="3"/>
  <c r="I24"/>
  <c r="K15" i="1" s="1"/>
  <c r="H24" i="3"/>
  <c r="D15" i="1" s="1"/>
  <c r="G23" i="3"/>
  <c r="F23"/>
  <c r="D23"/>
  <c r="M23"/>
  <c r="K23"/>
  <c r="M14" i="1" s="1"/>
  <c r="Q23" i="3"/>
  <c r="P23"/>
  <c r="N23"/>
  <c r="E23"/>
  <c r="R23"/>
  <c r="O23"/>
  <c r="H23"/>
  <c r="D14" i="1" s="1"/>
  <c r="I23" i="3"/>
  <c r="K14" i="1" s="1"/>
  <c r="H31" i="6"/>
  <c r="E31"/>
  <c r="A32" i="5"/>
  <c r="A33" s="1"/>
  <c r="A31"/>
  <c r="L23" i="3" l="1"/>
  <c r="N14" i="1" s="1"/>
  <c r="A34" i="5"/>
  <c r="A35" s="1"/>
  <c r="A36" s="1"/>
  <c r="A58" s="1"/>
  <c r="C30" i="3"/>
  <c r="C29"/>
  <c r="A62" i="5"/>
  <c r="A64" s="1"/>
  <c r="A66" s="1"/>
  <c r="A75" s="1"/>
  <c r="A318" s="1"/>
  <c r="A319" s="1"/>
  <c r="H14" i="1"/>
  <c r="C27" i="3"/>
  <c r="C33"/>
  <c r="C31"/>
  <c r="C35"/>
  <c r="C28"/>
  <c r="C26"/>
  <c r="J23"/>
  <c r="L14" i="1" s="1"/>
  <c r="J24" i="3"/>
  <c r="L15" i="1" s="1"/>
  <c r="L24" i="3"/>
  <c r="N15" i="1" s="1"/>
  <c r="C36" i="3"/>
  <c r="C34"/>
  <c r="C25"/>
  <c r="A320" i="5" l="1"/>
  <c r="A321" s="1"/>
  <c r="A322" s="1"/>
  <c r="A341" s="1"/>
  <c r="C69" i="3"/>
  <c r="C85"/>
  <c r="C101"/>
  <c r="G25"/>
  <c r="F25"/>
  <c r="D25"/>
  <c r="K25"/>
  <c r="M16" i="1" s="1"/>
  <c r="M25" i="3"/>
  <c r="L25"/>
  <c r="N16" i="1" s="1"/>
  <c r="E25" i="3"/>
  <c r="O25"/>
  <c r="R25"/>
  <c r="Q25"/>
  <c r="P25"/>
  <c r="N25"/>
  <c r="I25"/>
  <c r="K16" i="1" s="1"/>
  <c r="J25" i="3"/>
  <c r="L16" i="1" s="1"/>
  <c r="G34" i="3"/>
  <c r="D34"/>
  <c r="E34"/>
  <c r="F34"/>
  <c r="M34"/>
  <c r="R34"/>
  <c r="Q34"/>
  <c r="P34"/>
  <c r="N34"/>
  <c r="H25" i="1" s="1"/>
  <c r="K34" i="3"/>
  <c r="M25" i="1" s="1"/>
  <c r="O34" i="3"/>
  <c r="I34"/>
  <c r="K25" i="1" s="1"/>
  <c r="G36" i="3"/>
  <c r="F36"/>
  <c r="M36"/>
  <c r="K36"/>
  <c r="M27" i="1" s="1"/>
  <c r="E36" i="3"/>
  <c r="D36"/>
  <c r="P36"/>
  <c r="N36"/>
  <c r="H27" i="1" s="1"/>
  <c r="L36" i="3"/>
  <c r="N27" i="1" s="1"/>
  <c r="R36" i="3"/>
  <c r="Q36"/>
  <c r="O36"/>
  <c r="I36"/>
  <c r="K27" i="1" s="1"/>
  <c r="H36" i="3"/>
  <c r="D27" i="1" s="1"/>
  <c r="G26" i="3"/>
  <c r="D26"/>
  <c r="M26"/>
  <c r="K26"/>
  <c r="M17" i="1" s="1"/>
  <c r="E26" i="3"/>
  <c r="F26"/>
  <c r="R26"/>
  <c r="Q26"/>
  <c r="P26"/>
  <c r="N26"/>
  <c r="H17" i="1" s="1"/>
  <c r="O26" i="3"/>
  <c r="I26"/>
  <c r="K17" i="1" s="1"/>
  <c r="J26" i="3"/>
  <c r="L17" i="1" s="1"/>
  <c r="G35" i="3"/>
  <c r="F35"/>
  <c r="D35"/>
  <c r="M35"/>
  <c r="K35"/>
  <c r="M26" i="1" s="1"/>
  <c r="O35" i="3"/>
  <c r="E35"/>
  <c r="R35"/>
  <c r="Q35"/>
  <c r="P35"/>
  <c r="N35"/>
  <c r="H26" i="1" s="1"/>
  <c r="I35" i="3"/>
  <c r="K26" i="1" s="1"/>
  <c r="G31" i="3"/>
  <c r="F31"/>
  <c r="D31"/>
  <c r="M31"/>
  <c r="K31"/>
  <c r="M22" i="1" s="1"/>
  <c r="L31" i="3"/>
  <c r="N22" i="1" s="1"/>
  <c r="O31" i="3"/>
  <c r="E31"/>
  <c r="R31"/>
  <c r="Q31"/>
  <c r="P31"/>
  <c r="N31"/>
  <c r="H22" i="1" s="1"/>
  <c r="I31" i="3"/>
  <c r="K22" i="1" s="1"/>
  <c r="H31" i="3"/>
  <c r="D22" i="1" s="1"/>
  <c r="J31" i="3"/>
  <c r="L22" i="1" s="1"/>
  <c r="G33" i="3"/>
  <c r="H33" s="1"/>
  <c r="D24" i="1" s="1"/>
  <c r="F33" i="3"/>
  <c r="D33"/>
  <c r="M33"/>
  <c r="K33"/>
  <c r="M24" i="1" s="1"/>
  <c r="E33" i="3"/>
  <c r="O33"/>
  <c r="R33"/>
  <c r="Q33"/>
  <c r="P33"/>
  <c r="N33"/>
  <c r="H24" i="1" s="1"/>
  <c r="I33" i="3"/>
  <c r="K24" i="1" s="1"/>
  <c r="G27" i="3"/>
  <c r="F27"/>
  <c r="D27"/>
  <c r="K27"/>
  <c r="M18" i="1" s="1"/>
  <c r="M27" i="3"/>
  <c r="O27"/>
  <c r="E27"/>
  <c r="R27"/>
  <c r="Q27"/>
  <c r="P27"/>
  <c r="N27"/>
  <c r="H18" i="1" s="1"/>
  <c r="I27" i="3"/>
  <c r="K18" i="1" s="1"/>
  <c r="H27" i="3"/>
  <c r="D18" i="1" s="1"/>
  <c r="J27" i="3"/>
  <c r="L18" i="1" s="1"/>
  <c r="G29" i="3"/>
  <c r="F29"/>
  <c r="D29"/>
  <c r="K29"/>
  <c r="M20" i="1" s="1"/>
  <c r="M29" i="3"/>
  <c r="L29"/>
  <c r="N20" i="1" s="1"/>
  <c r="E29" i="3"/>
  <c r="H29" s="1"/>
  <c r="D20" i="1" s="1"/>
  <c r="O29" i="3"/>
  <c r="R29"/>
  <c r="Q29"/>
  <c r="P29"/>
  <c r="N29"/>
  <c r="H20" i="1" s="1"/>
  <c r="I29" i="3"/>
  <c r="K20" i="1" s="1"/>
  <c r="G30" i="3"/>
  <c r="D30"/>
  <c r="M30"/>
  <c r="K30"/>
  <c r="M21" i="1" s="1"/>
  <c r="E30" i="3"/>
  <c r="F30"/>
  <c r="H30" s="1"/>
  <c r="D21" i="1" s="1"/>
  <c r="R30" i="3"/>
  <c r="Q30"/>
  <c r="P30"/>
  <c r="N30"/>
  <c r="H21" i="1" s="1"/>
  <c r="O30" i="3"/>
  <c r="I30"/>
  <c r="K21" i="1" s="1"/>
  <c r="C109" i="3"/>
  <c r="C93"/>
  <c r="C77"/>
  <c r="C61"/>
  <c r="C45"/>
  <c r="C32"/>
  <c r="C105"/>
  <c r="C89"/>
  <c r="C73"/>
  <c r="C57"/>
  <c r="C41"/>
  <c r="G28"/>
  <c r="F28"/>
  <c r="H28" s="1"/>
  <c r="D19" i="1" s="1"/>
  <c r="M28" i="3"/>
  <c r="K28"/>
  <c r="M19" i="1" s="1"/>
  <c r="E28" i="3"/>
  <c r="D28"/>
  <c r="R28"/>
  <c r="Q28"/>
  <c r="P28"/>
  <c r="N28"/>
  <c r="H19" i="1" s="1"/>
  <c r="O28" i="3"/>
  <c r="I28"/>
  <c r="K19" i="1" s="1"/>
  <c r="C40" i="3"/>
  <c r="C37"/>
  <c r="C113"/>
  <c r="C97"/>
  <c r="C81"/>
  <c r="C65"/>
  <c r="C49"/>
  <c r="J28" l="1"/>
  <c r="L19" i="1" s="1"/>
  <c r="J30" i="3"/>
  <c r="L21" i="1" s="1"/>
  <c r="H35" i="3"/>
  <c r="D26" i="1" s="1"/>
  <c r="H26" i="3"/>
  <c r="D17" i="1" s="1"/>
  <c r="J34" i="3"/>
  <c r="L25" i="1" s="1"/>
  <c r="H34" i="3"/>
  <c r="D25" i="1" s="1"/>
  <c r="H25" i="3"/>
  <c r="D16" i="1" s="1"/>
  <c r="F81" i="3"/>
  <c r="D81"/>
  <c r="L81"/>
  <c r="N72" i="1" s="1"/>
  <c r="K81" i="3"/>
  <c r="M72" i="1" s="1"/>
  <c r="G81" i="3"/>
  <c r="E81"/>
  <c r="Q81"/>
  <c r="O81"/>
  <c r="M81"/>
  <c r="R81"/>
  <c r="P81"/>
  <c r="N81"/>
  <c r="H72" i="1" s="1"/>
  <c r="J81" i="3"/>
  <c r="L72" i="1" s="1"/>
  <c r="I81" i="3"/>
  <c r="K72" i="1" s="1"/>
  <c r="H81" i="3"/>
  <c r="D72" i="1" s="1"/>
  <c r="F113" i="3"/>
  <c r="D113"/>
  <c r="L113"/>
  <c r="N104" i="1" s="1"/>
  <c r="K113" i="3"/>
  <c r="M104" i="1" s="1"/>
  <c r="Q113" i="3"/>
  <c r="O113"/>
  <c r="M113"/>
  <c r="G113"/>
  <c r="E113"/>
  <c r="P113"/>
  <c r="I113"/>
  <c r="K104" i="1" s="1"/>
  <c r="R113" i="3"/>
  <c r="N113"/>
  <c r="H104" i="1" s="1"/>
  <c r="J113" i="3"/>
  <c r="L104" i="1" s="1"/>
  <c r="H113" i="3"/>
  <c r="D104" i="1" s="1"/>
  <c r="F41" i="3"/>
  <c r="D41"/>
  <c r="G41"/>
  <c r="M41"/>
  <c r="E41"/>
  <c r="P41"/>
  <c r="N41"/>
  <c r="H32" i="1" s="1"/>
  <c r="K41" i="3"/>
  <c r="M32" i="1" s="1"/>
  <c r="R41" i="3"/>
  <c r="Q41"/>
  <c r="O41"/>
  <c r="I41"/>
  <c r="K32" i="1" s="1"/>
  <c r="H41" i="3"/>
  <c r="D32" i="1" s="1"/>
  <c r="J41" i="3"/>
  <c r="L32" i="1" s="1"/>
  <c r="F105" i="3"/>
  <c r="D105"/>
  <c r="L105"/>
  <c r="N96" i="1" s="1"/>
  <c r="K105" i="3"/>
  <c r="M96" i="1" s="1"/>
  <c r="G105" i="3"/>
  <c r="E105"/>
  <c r="Q105"/>
  <c r="O105"/>
  <c r="M105"/>
  <c r="I105"/>
  <c r="K96" i="1" s="1"/>
  <c r="R105" i="3"/>
  <c r="P105"/>
  <c r="N105"/>
  <c r="H96" i="1" s="1"/>
  <c r="J105" i="3"/>
  <c r="L96" i="1" s="1"/>
  <c r="H105" i="3"/>
  <c r="D96" i="1" s="1"/>
  <c r="F77" i="3"/>
  <c r="D77"/>
  <c r="L77"/>
  <c r="N68" i="1" s="1"/>
  <c r="K77" i="3"/>
  <c r="M68" i="1" s="1"/>
  <c r="G77" i="3"/>
  <c r="E77"/>
  <c r="Q77"/>
  <c r="O77"/>
  <c r="M77"/>
  <c r="R77"/>
  <c r="P77"/>
  <c r="N77"/>
  <c r="H68" i="1" s="1"/>
  <c r="J77" i="3"/>
  <c r="L68" i="1" s="1"/>
  <c r="I77" i="3"/>
  <c r="K68" i="1" s="1"/>
  <c r="H77" i="3"/>
  <c r="D68" i="1" s="1"/>
  <c r="F65" i="3"/>
  <c r="D65"/>
  <c r="L65"/>
  <c r="N56" i="1" s="1"/>
  <c r="K65" i="3"/>
  <c r="M56" i="1" s="1"/>
  <c r="G65" i="3"/>
  <c r="E65"/>
  <c r="Q65"/>
  <c r="O65"/>
  <c r="M65"/>
  <c r="R65"/>
  <c r="P65"/>
  <c r="N65"/>
  <c r="H56" i="1" s="1"/>
  <c r="J65" i="3"/>
  <c r="L56" i="1" s="1"/>
  <c r="I65" i="3"/>
  <c r="K56" i="1" s="1"/>
  <c r="H65" i="3"/>
  <c r="D56" i="1" s="1"/>
  <c r="F97" i="3"/>
  <c r="D97"/>
  <c r="L97"/>
  <c r="N88" i="1" s="1"/>
  <c r="K97" i="3"/>
  <c r="M88" i="1" s="1"/>
  <c r="G97" i="3"/>
  <c r="E97"/>
  <c r="Q97"/>
  <c r="O97"/>
  <c r="M97"/>
  <c r="R97"/>
  <c r="P97"/>
  <c r="N97"/>
  <c r="H88" i="1" s="1"/>
  <c r="J97" i="3"/>
  <c r="L88" i="1" s="1"/>
  <c r="I97" i="3"/>
  <c r="K88" i="1" s="1"/>
  <c r="H97" i="3"/>
  <c r="D88" i="1" s="1"/>
  <c r="G37" i="3"/>
  <c r="F37"/>
  <c r="D37"/>
  <c r="M37"/>
  <c r="E37"/>
  <c r="P37"/>
  <c r="N37"/>
  <c r="H28" i="1" s="1"/>
  <c r="K37" i="3"/>
  <c r="M28" i="1" s="1"/>
  <c r="R37" i="3"/>
  <c r="Q37"/>
  <c r="O37"/>
  <c r="I37"/>
  <c r="K28" i="1" s="1"/>
  <c r="H37" i="3"/>
  <c r="D28" i="1" s="1"/>
  <c r="J37" i="3"/>
  <c r="L28" i="1" s="1"/>
  <c r="F57" i="3"/>
  <c r="D57"/>
  <c r="L57"/>
  <c r="N48" i="1" s="1"/>
  <c r="K57" i="3"/>
  <c r="M48" i="1" s="1"/>
  <c r="G57" i="3"/>
  <c r="E57"/>
  <c r="Q57"/>
  <c r="O57"/>
  <c r="M57"/>
  <c r="R57"/>
  <c r="P57"/>
  <c r="N57"/>
  <c r="H48" i="1" s="1"/>
  <c r="J57" i="3"/>
  <c r="L48" i="1" s="1"/>
  <c r="H57" i="3"/>
  <c r="D48" i="1" s="1"/>
  <c r="I57" i="3"/>
  <c r="K48" i="1" s="1"/>
  <c r="F89" i="3"/>
  <c r="D89"/>
  <c r="L89"/>
  <c r="N80" i="1" s="1"/>
  <c r="K89" i="3"/>
  <c r="M80" i="1" s="1"/>
  <c r="G89" i="3"/>
  <c r="E89"/>
  <c r="Q89"/>
  <c r="O89"/>
  <c r="M89"/>
  <c r="R89"/>
  <c r="P89"/>
  <c r="N89"/>
  <c r="H80" i="1" s="1"/>
  <c r="J89" i="3"/>
  <c r="L80" i="1" s="1"/>
  <c r="I89" i="3"/>
  <c r="K80" i="1" s="1"/>
  <c r="H89" i="3"/>
  <c r="D80" i="1" s="1"/>
  <c r="G32" i="3"/>
  <c r="F32"/>
  <c r="E32"/>
  <c r="D32"/>
  <c r="M32"/>
  <c r="K32"/>
  <c r="M23" i="1" s="1"/>
  <c r="R32" i="3"/>
  <c r="Q32"/>
  <c r="P32"/>
  <c r="N32"/>
  <c r="H23" i="1" s="1"/>
  <c r="O32" i="3"/>
  <c r="I32"/>
  <c r="K23" i="1" s="1"/>
  <c r="F61" i="3"/>
  <c r="D61"/>
  <c r="L61"/>
  <c r="N52" i="1" s="1"/>
  <c r="K61" i="3"/>
  <c r="M52" i="1" s="1"/>
  <c r="G61" i="3"/>
  <c r="E61"/>
  <c r="Q61"/>
  <c r="O61"/>
  <c r="M61"/>
  <c r="R61"/>
  <c r="P61"/>
  <c r="N61"/>
  <c r="H52" i="1" s="1"/>
  <c r="J61" i="3"/>
  <c r="L52" i="1" s="1"/>
  <c r="H61" i="3"/>
  <c r="D52" i="1" s="1"/>
  <c r="I61" i="3"/>
  <c r="K52" i="1" s="1"/>
  <c r="F93" i="3"/>
  <c r="D93"/>
  <c r="L93"/>
  <c r="N84" i="1" s="1"/>
  <c r="K93" i="3"/>
  <c r="M84" i="1" s="1"/>
  <c r="G93" i="3"/>
  <c r="E93"/>
  <c r="Q93"/>
  <c r="O93"/>
  <c r="M93"/>
  <c r="R93"/>
  <c r="P93"/>
  <c r="N93"/>
  <c r="H84" i="1" s="1"/>
  <c r="J93" i="3"/>
  <c r="L84" i="1" s="1"/>
  <c r="I93" i="3"/>
  <c r="K84" i="1" s="1"/>
  <c r="H93" i="3"/>
  <c r="D84" i="1" s="1"/>
  <c r="H16"/>
  <c r="F101" i="3"/>
  <c r="D101"/>
  <c r="L101"/>
  <c r="N92" i="1" s="1"/>
  <c r="K101" i="3"/>
  <c r="M92" i="1" s="1"/>
  <c r="G101" i="3"/>
  <c r="E101"/>
  <c r="Q101"/>
  <c r="O101"/>
  <c r="M101"/>
  <c r="R101"/>
  <c r="P101"/>
  <c r="N101"/>
  <c r="H92" i="1" s="1"/>
  <c r="J101" i="3"/>
  <c r="L92" i="1" s="1"/>
  <c r="I101" i="3"/>
  <c r="K92" i="1" s="1"/>
  <c r="H101" i="3"/>
  <c r="D92" i="1" s="1"/>
  <c r="F69" i="3"/>
  <c r="D69"/>
  <c r="L69"/>
  <c r="N60" i="1" s="1"/>
  <c r="K69" i="3"/>
  <c r="M60" i="1" s="1"/>
  <c r="G69" i="3"/>
  <c r="E69"/>
  <c r="Q69"/>
  <c r="O69"/>
  <c r="M69"/>
  <c r="R69"/>
  <c r="P69"/>
  <c r="N69"/>
  <c r="H60" i="1" s="1"/>
  <c r="J69" i="3"/>
  <c r="L60" i="1" s="1"/>
  <c r="H69" i="3"/>
  <c r="D60" i="1" s="1"/>
  <c r="I69" i="3"/>
  <c r="K60" i="1" s="1"/>
  <c r="C52" i="3"/>
  <c r="C44"/>
  <c r="C100"/>
  <c r="C76"/>
  <c r="C108"/>
  <c r="C47"/>
  <c r="C79"/>
  <c r="C111"/>
  <c r="C50"/>
  <c r="C82"/>
  <c r="C114"/>
  <c r="C48"/>
  <c r="C80"/>
  <c r="C112"/>
  <c r="C51"/>
  <c r="C83"/>
  <c r="C70"/>
  <c r="C102"/>
  <c r="C71"/>
  <c r="C103"/>
  <c r="C42"/>
  <c r="C74"/>
  <c r="C106"/>
  <c r="C39"/>
  <c r="C72"/>
  <c r="C104"/>
  <c r="C75"/>
  <c r="C46"/>
  <c r="C110"/>
  <c r="C84"/>
  <c r="C68"/>
  <c r="C60"/>
  <c r="C92"/>
  <c r="C63"/>
  <c r="C95"/>
  <c r="C66"/>
  <c r="C98"/>
  <c r="C64"/>
  <c r="C96"/>
  <c r="C67"/>
  <c r="C99"/>
  <c r="C54"/>
  <c r="C86"/>
  <c r="C55"/>
  <c r="C87"/>
  <c r="C58"/>
  <c r="C90"/>
  <c r="C56"/>
  <c r="C88"/>
  <c r="C38"/>
  <c r="C59"/>
  <c r="C91"/>
  <c r="C62"/>
  <c r="C94"/>
  <c r="C43"/>
  <c r="C107"/>
  <c r="C78"/>
  <c r="J29"/>
  <c r="L20" i="1" s="1"/>
  <c r="J33" i="3"/>
  <c r="L24" i="1" s="1"/>
  <c r="J35" i="3"/>
  <c r="L26" i="1" s="1"/>
  <c r="L28" i="3"/>
  <c r="N19" i="1" s="1"/>
  <c r="L30" i="3"/>
  <c r="N21" i="1" s="1"/>
  <c r="L33" i="3"/>
  <c r="N24" i="1" s="1"/>
  <c r="L35" i="3"/>
  <c r="N26" i="1" s="1"/>
  <c r="L26" i="3"/>
  <c r="N17" i="1" s="1"/>
  <c r="J36" i="3"/>
  <c r="L27" i="1" s="1"/>
  <c r="L34" i="3"/>
  <c r="N25" i="1" s="1"/>
  <c r="F49" i="3"/>
  <c r="D49"/>
  <c r="L49"/>
  <c r="N40" i="1" s="1"/>
  <c r="K49" i="3"/>
  <c r="M40" i="1" s="1"/>
  <c r="G49" i="3"/>
  <c r="E49"/>
  <c r="Q49"/>
  <c r="O49"/>
  <c r="M49"/>
  <c r="R49"/>
  <c r="P49"/>
  <c r="N49"/>
  <c r="H40" i="1" s="1"/>
  <c r="J49" i="3"/>
  <c r="L40" i="1" s="1"/>
  <c r="H49" i="3"/>
  <c r="D40" i="1" s="1"/>
  <c r="I49" i="3"/>
  <c r="K40" i="1" s="1"/>
  <c r="G40" i="3"/>
  <c r="F40"/>
  <c r="M40"/>
  <c r="K40"/>
  <c r="M31" i="1" s="1"/>
  <c r="E40" i="3"/>
  <c r="D40"/>
  <c r="P40"/>
  <c r="N40"/>
  <c r="H31" i="1" s="1"/>
  <c r="R40" i="3"/>
  <c r="Q40"/>
  <c r="O40"/>
  <c r="I40"/>
  <c r="K31" i="1" s="1"/>
  <c r="H40" i="3"/>
  <c r="D31" i="1" s="1"/>
  <c r="F73" i="3"/>
  <c r="D73"/>
  <c r="L73"/>
  <c r="N64" i="1" s="1"/>
  <c r="K73" i="3"/>
  <c r="M64" i="1" s="1"/>
  <c r="G73" i="3"/>
  <c r="E73"/>
  <c r="Q73"/>
  <c r="O73"/>
  <c r="M73"/>
  <c r="R73"/>
  <c r="P73"/>
  <c r="N73"/>
  <c r="H64" i="1" s="1"/>
  <c r="J73" i="3"/>
  <c r="L64" i="1" s="1"/>
  <c r="I73" i="3"/>
  <c r="K64" i="1" s="1"/>
  <c r="H73" i="3"/>
  <c r="D64" i="1" s="1"/>
  <c r="F45" i="3"/>
  <c r="D45"/>
  <c r="L45"/>
  <c r="N36" i="1" s="1"/>
  <c r="K45" i="3"/>
  <c r="M36" i="1" s="1"/>
  <c r="G45" i="3"/>
  <c r="E45"/>
  <c r="Q45"/>
  <c r="O45"/>
  <c r="M45"/>
  <c r="R45"/>
  <c r="P45"/>
  <c r="N45"/>
  <c r="H36" i="1" s="1"/>
  <c r="J45" i="3"/>
  <c r="L36" i="1" s="1"/>
  <c r="H45" i="3"/>
  <c r="D36" i="1" s="1"/>
  <c r="I45" i="3"/>
  <c r="K36" i="1" s="1"/>
  <c r="F109" i="3"/>
  <c r="D109"/>
  <c r="L109"/>
  <c r="N100" i="1" s="1"/>
  <c r="K109" i="3"/>
  <c r="M100" i="1" s="1"/>
  <c r="G109" i="3"/>
  <c r="E109"/>
  <c r="Q109"/>
  <c r="O109"/>
  <c r="M109"/>
  <c r="I109"/>
  <c r="K100" i="1" s="1"/>
  <c r="R109" i="3"/>
  <c r="P109"/>
  <c r="N109"/>
  <c r="H100" i="1" s="1"/>
  <c r="J109" i="3"/>
  <c r="L100" i="1" s="1"/>
  <c r="H109" i="3"/>
  <c r="D100" i="1" s="1"/>
  <c r="F85" i="3"/>
  <c r="D85"/>
  <c r="L85"/>
  <c r="N76" i="1" s="1"/>
  <c r="K85" i="3"/>
  <c r="M76" i="1" s="1"/>
  <c r="G85" i="3"/>
  <c r="E85"/>
  <c r="Q85"/>
  <c r="O85"/>
  <c r="M85"/>
  <c r="R85"/>
  <c r="P85"/>
  <c r="N85"/>
  <c r="H76" i="1" s="1"/>
  <c r="J85" i="3"/>
  <c r="L76" i="1" s="1"/>
  <c r="I85" i="3"/>
  <c r="K76" i="1" s="1"/>
  <c r="H85" i="3"/>
  <c r="D76" i="1" s="1"/>
  <c r="L27" i="3"/>
  <c r="N18" i="1" s="1"/>
  <c r="C53" i="3"/>
  <c r="L40" l="1"/>
  <c r="N31" i="1" s="1"/>
  <c r="J32" i="3"/>
  <c r="L23" i="1" s="1"/>
  <c r="H32" i="3"/>
  <c r="D23" i="1" s="1"/>
  <c r="F53" i="3"/>
  <c r="D53"/>
  <c r="L53"/>
  <c r="N44" i="1" s="1"/>
  <c r="K53" i="3"/>
  <c r="M44" i="1" s="1"/>
  <c r="G53" i="3"/>
  <c r="E53"/>
  <c r="Q53"/>
  <c r="O53"/>
  <c r="M53"/>
  <c r="R53"/>
  <c r="P53"/>
  <c r="N53"/>
  <c r="H44" i="1" s="1"/>
  <c r="J53" i="3"/>
  <c r="L44" i="1" s="1"/>
  <c r="H53" i="3"/>
  <c r="D44" i="1" s="1"/>
  <c r="I53" i="3"/>
  <c r="K44" i="1" s="1"/>
  <c r="F107" i="3"/>
  <c r="D107"/>
  <c r="L107"/>
  <c r="N98" i="1" s="1"/>
  <c r="K107" i="3"/>
  <c r="M98" i="1" s="1"/>
  <c r="G107" i="3"/>
  <c r="Q107"/>
  <c r="O107"/>
  <c r="M107"/>
  <c r="I107"/>
  <c r="K98" i="1" s="1"/>
  <c r="E107" i="3"/>
  <c r="R107"/>
  <c r="P107"/>
  <c r="N107"/>
  <c r="H98" i="1" s="1"/>
  <c r="J107" i="3"/>
  <c r="L98" i="1" s="1"/>
  <c r="H107" i="3"/>
  <c r="D98" i="1" s="1"/>
  <c r="G94" i="3"/>
  <c r="D94"/>
  <c r="E94"/>
  <c r="F94"/>
  <c r="L94"/>
  <c r="N85" i="1" s="1"/>
  <c r="Q94" i="3"/>
  <c r="O94"/>
  <c r="M94"/>
  <c r="K94"/>
  <c r="M85" i="1" s="1"/>
  <c r="R94" i="3"/>
  <c r="P94"/>
  <c r="N94"/>
  <c r="H85" i="1" s="1"/>
  <c r="J94" i="3"/>
  <c r="L85" i="1" s="1"/>
  <c r="I94" i="3"/>
  <c r="K85" i="1" s="1"/>
  <c r="H94" i="3"/>
  <c r="D85" i="1" s="1"/>
  <c r="F91" i="3"/>
  <c r="D91"/>
  <c r="L91"/>
  <c r="N82" i="1" s="1"/>
  <c r="K91" i="3"/>
  <c r="M82" i="1" s="1"/>
  <c r="G91" i="3"/>
  <c r="Q91"/>
  <c r="O91"/>
  <c r="M91"/>
  <c r="E91"/>
  <c r="R91"/>
  <c r="P91"/>
  <c r="N91"/>
  <c r="H82" i="1" s="1"/>
  <c r="J91" i="3"/>
  <c r="L82" i="1" s="1"/>
  <c r="I91" i="3"/>
  <c r="K82" i="1" s="1"/>
  <c r="H91" i="3"/>
  <c r="D82" i="1" s="1"/>
  <c r="G38" i="3"/>
  <c r="D38"/>
  <c r="M38"/>
  <c r="K38"/>
  <c r="M29" i="1" s="1"/>
  <c r="E38" i="3"/>
  <c r="F38"/>
  <c r="P38"/>
  <c r="N38"/>
  <c r="R38"/>
  <c r="Q38"/>
  <c r="O38"/>
  <c r="I38"/>
  <c r="K29" i="1" s="1"/>
  <c r="H38" i="3"/>
  <c r="D29" i="1" s="1"/>
  <c r="G56" i="3"/>
  <c r="F56"/>
  <c r="E56"/>
  <c r="D56"/>
  <c r="K56"/>
  <c r="M47" i="1" s="1"/>
  <c r="Q56" i="3"/>
  <c r="O56"/>
  <c r="M56"/>
  <c r="L56"/>
  <c r="N47" i="1" s="1"/>
  <c r="R56" i="3"/>
  <c r="P56"/>
  <c r="N56"/>
  <c r="H47" i="1" s="1"/>
  <c r="J56" i="3"/>
  <c r="L47" i="1" s="1"/>
  <c r="I56" i="3"/>
  <c r="K47" i="1" s="1"/>
  <c r="H56" i="3"/>
  <c r="D47" i="1" s="1"/>
  <c r="G58" i="3"/>
  <c r="D58"/>
  <c r="E58"/>
  <c r="F58"/>
  <c r="L58"/>
  <c r="N49" i="1" s="1"/>
  <c r="Q58" i="3"/>
  <c r="O58"/>
  <c r="M58"/>
  <c r="K58"/>
  <c r="M49" i="1" s="1"/>
  <c r="R58" i="3"/>
  <c r="P58"/>
  <c r="N58"/>
  <c r="H49" i="1" s="1"/>
  <c r="J58" i="3"/>
  <c r="L49" i="1" s="1"/>
  <c r="I58" i="3"/>
  <c r="K49" i="1" s="1"/>
  <c r="H58" i="3"/>
  <c r="D49" i="1" s="1"/>
  <c r="F55" i="3"/>
  <c r="D55"/>
  <c r="L55"/>
  <c r="N46" i="1" s="1"/>
  <c r="K55" i="3"/>
  <c r="M46" i="1" s="1"/>
  <c r="G55" i="3"/>
  <c r="Q55"/>
  <c r="O55"/>
  <c r="M55"/>
  <c r="E55"/>
  <c r="R55"/>
  <c r="P55"/>
  <c r="N55"/>
  <c r="H46" i="1" s="1"/>
  <c r="J55" i="3"/>
  <c r="L46" i="1" s="1"/>
  <c r="H55" i="3"/>
  <c r="D46" i="1" s="1"/>
  <c r="I55" i="3"/>
  <c r="K46" i="1" s="1"/>
  <c r="G54" i="3"/>
  <c r="D54"/>
  <c r="E54"/>
  <c r="F54"/>
  <c r="L54"/>
  <c r="N45" i="1" s="1"/>
  <c r="Q54" i="3"/>
  <c r="O54"/>
  <c r="M54"/>
  <c r="K54"/>
  <c r="M45" i="1" s="1"/>
  <c r="R54" i="3"/>
  <c r="P54"/>
  <c r="N54"/>
  <c r="H45" i="1" s="1"/>
  <c r="J54" i="3"/>
  <c r="L45" i="1" s="1"/>
  <c r="I54" i="3"/>
  <c r="K45" i="1" s="1"/>
  <c r="H54" i="3"/>
  <c r="D45" i="1" s="1"/>
  <c r="F67" i="3"/>
  <c r="D67"/>
  <c r="L67"/>
  <c r="N58" i="1" s="1"/>
  <c r="K67" i="3"/>
  <c r="M58" i="1" s="1"/>
  <c r="G67" i="3"/>
  <c r="Q67"/>
  <c r="O67"/>
  <c r="M67"/>
  <c r="E67"/>
  <c r="R67"/>
  <c r="P67"/>
  <c r="N67"/>
  <c r="H58" i="1" s="1"/>
  <c r="J67" i="3"/>
  <c r="L58" i="1" s="1"/>
  <c r="H67" i="3"/>
  <c r="D58" i="1" s="1"/>
  <c r="I67" i="3"/>
  <c r="K58" i="1" s="1"/>
  <c r="G64" i="3"/>
  <c r="F64"/>
  <c r="E64"/>
  <c r="D64"/>
  <c r="K64"/>
  <c r="M55" i="1" s="1"/>
  <c r="Q64" i="3"/>
  <c r="O64"/>
  <c r="M64"/>
  <c r="L64"/>
  <c r="N55" i="1" s="1"/>
  <c r="R64" i="3"/>
  <c r="P64"/>
  <c r="N64"/>
  <c r="H55" i="1" s="1"/>
  <c r="J64" i="3"/>
  <c r="L55" i="1" s="1"/>
  <c r="I64" i="3"/>
  <c r="K55" i="1" s="1"/>
  <c r="H64" i="3"/>
  <c r="D55" i="1" s="1"/>
  <c r="G66" i="3"/>
  <c r="D66"/>
  <c r="E66"/>
  <c r="F66"/>
  <c r="L66"/>
  <c r="N57" i="1" s="1"/>
  <c r="Q66" i="3"/>
  <c r="O66"/>
  <c r="M66"/>
  <c r="K66"/>
  <c r="M57" i="1" s="1"/>
  <c r="R66" i="3"/>
  <c r="P66"/>
  <c r="N66"/>
  <c r="H57" i="1" s="1"/>
  <c r="J66" i="3"/>
  <c r="L57" i="1" s="1"/>
  <c r="I66" i="3"/>
  <c r="K57" i="1" s="1"/>
  <c r="H66" i="3"/>
  <c r="D57" i="1" s="1"/>
  <c r="F63" i="3"/>
  <c r="D63"/>
  <c r="L63"/>
  <c r="N54" i="1" s="1"/>
  <c r="K63" i="3"/>
  <c r="M54" i="1" s="1"/>
  <c r="G63" i="3"/>
  <c r="Q63"/>
  <c r="O63"/>
  <c r="M63"/>
  <c r="E63"/>
  <c r="R63"/>
  <c r="P63"/>
  <c r="N63"/>
  <c r="H54" i="1" s="1"/>
  <c r="J63" i="3"/>
  <c r="L54" i="1" s="1"/>
  <c r="I63" i="3"/>
  <c r="K54" i="1" s="1"/>
  <c r="H63" i="3"/>
  <c r="D54" i="1" s="1"/>
  <c r="G60" i="3"/>
  <c r="F60"/>
  <c r="E60"/>
  <c r="D60"/>
  <c r="K60"/>
  <c r="M51" i="1" s="1"/>
  <c r="Q60" i="3"/>
  <c r="O60"/>
  <c r="M60"/>
  <c r="L60"/>
  <c r="N51" i="1" s="1"/>
  <c r="R60" i="3"/>
  <c r="P60"/>
  <c r="N60"/>
  <c r="H51" i="1" s="1"/>
  <c r="J60" i="3"/>
  <c r="L51" i="1" s="1"/>
  <c r="I60" i="3"/>
  <c r="K51" i="1" s="1"/>
  <c r="H60" i="3"/>
  <c r="D51" i="1" s="1"/>
  <c r="G84" i="3"/>
  <c r="F84"/>
  <c r="E84"/>
  <c r="D84"/>
  <c r="K84"/>
  <c r="M75" i="1" s="1"/>
  <c r="Q84" i="3"/>
  <c r="O84"/>
  <c r="M84"/>
  <c r="L84"/>
  <c r="N75" i="1" s="1"/>
  <c r="R84" i="3"/>
  <c r="P84"/>
  <c r="N84"/>
  <c r="H75" i="1" s="1"/>
  <c r="J84" i="3"/>
  <c r="L75" i="1" s="1"/>
  <c r="I84" i="3"/>
  <c r="K75" i="1" s="1"/>
  <c r="H84" i="3"/>
  <c r="D75" i="1" s="1"/>
  <c r="G46" i="3"/>
  <c r="D46"/>
  <c r="E46"/>
  <c r="F46"/>
  <c r="L46"/>
  <c r="N37" i="1" s="1"/>
  <c r="Q46" i="3"/>
  <c r="O46"/>
  <c r="M46"/>
  <c r="K46"/>
  <c r="M37" i="1" s="1"/>
  <c r="R46" i="3"/>
  <c r="P46"/>
  <c r="N46"/>
  <c r="H37" i="1" s="1"/>
  <c r="J46" i="3"/>
  <c r="L37" i="1" s="1"/>
  <c r="I46" i="3"/>
  <c r="K37" i="1" s="1"/>
  <c r="H46" i="3"/>
  <c r="D37" i="1" s="1"/>
  <c r="G104" i="3"/>
  <c r="F104"/>
  <c r="E104"/>
  <c r="D104"/>
  <c r="L104"/>
  <c r="N95" i="1" s="1"/>
  <c r="K104" i="3"/>
  <c r="M95" i="1" s="1"/>
  <c r="Q104" i="3"/>
  <c r="O104"/>
  <c r="M104"/>
  <c r="R104"/>
  <c r="P104"/>
  <c r="N104"/>
  <c r="H95" i="1" s="1"/>
  <c r="J104" i="3"/>
  <c r="L95" i="1" s="1"/>
  <c r="I104" i="3"/>
  <c r="K95" i="1" s="1"/>
  <c r="H104" i="3"/>
  <c r="D95" i="1" s="1"/>
  <c r="F39" i="3"/>
  <c r="D39"/>
  <c r="G39"/>
  <c r="M39"/>
  <c r="K39"/>
  <c r="M30" i="1" s="1"/>
  <c r="P39" i="3"/>
  <c r="N39"/>
  <c r="H30" i="1" s="1"/>
  <c r="E39" i="3"/>
  <c r="R39"/>
  <c r="Q39"/>
  <c r="O39"/>
  <c r="I39"/>
  <c r="K30" i="1" s="1"/>
  <c r="H39" i="3"/>
  <c r="D30" i="1" s="1"/>
  <c r="J39" i="3"/>
  <c r="L30" i="1" s="1"/>
  <c r="G74" i="3"/>
  <c r="D74"/>
  <c r="E74"/>
  <c r="F74"/>
  <c r="L74"/>
  <c r="N65" i="1" s="1"/>
  <c r="Q74" i="3"/>
  <c r="O74"/>
  <c r="M74"/>
  <c r="K74"/>
  <c r="M65" i="1" s="1"/>
  <c r="R74" i="3"/>
  <c r="P74"/>
  <c r="N74"/>
  <c r="H65" i="1" s="1"/>
  <c r="J74" i="3"/>
  <c r="L65" i="1" s="1"/>
  <c r="I74" i="3"/>
  <c r="K65" i="1" s="1"/>
  <c r="H74" i="3"/>
  <c r="D65" i="1" s="1"/>
  <c r="F103" i="3"/>
  <c r="D103"/>
  <c r="L103"/>
  <c r="N94" i="1" s="1"/>
  <c r="K103" i="3"/>
  <c r="M94" i="1" s="1"/>
  <c r="G103" i="3"/>
  <c r="Q103"/>
  <c r="O103"/>
  <c r="M103"/>
  <c r="E103"/>
  <c r="R103"/>
  <c r="P103"/>
  <c r="N103"/>
  <c r="H94" i="1" s="1"/>
  <c r="J103" i="3"/>
  <c r="L94" i="1" s="1"/>
  <c r="I103" i="3"/>
  <c r="K94" i="1" s="1"/>
  <c r="H103" i="3"/>
  <c r="D94" i="1" s="1"/>
  <c r="G102" i="3"/>
  <c r="D102"/>
  <c r="E102"/>
  <c r="F102"/>
  <c r="L102"/>
  <c r="N93" i="1" s="1"/>
  <c r="Q102" i="3"/>
  <c r="O102"/>
  <c r="M102"/>
  <c r="K102"/>
  <c r="M93" i="1" s="1"/>
  <c r="R102" i="3"/>
  <c r="P102"/>
  <c r="N102"/>
  <c r="H93" i="1" s="1"/>
  <c r="J102" i="3"/>
  <c r="L93" i="1" s="1"/>
  <c r="I102" i="3"/>
  <c r="K93" i="1" s="1"/>
  <c r="H102" i="3"/>
  <c r="D93" i="1" s="1"/>
  <c r="F83" i="3"/>
  <c r="D83"/>
  <c r="L83"/>
  <c r="N74" i="1" s="1"/>
  <c r="K83" i="3"/>
  <c r="M74" i="1" s="1"/>
  <c r="G83" i="3"/>
  <c r="Q83"/>
  <c r="O83"/>
  <c r="M83"/>
  <c r="E83"/>
  <c r="R83"/>
  <c r="P83"/>
  <c r="N83"/>
  <c r="H74" i="1" s="1"/>
  <c r="J83" i="3"/>
  <c r="L74" i="1" s="1"/>
  <c r="I83" i="3"/>
  <c r="K74" i="1" s="1"/>
  <c r="H83" i="3"/>
  <c r="D74" i="1" s="1"/>
  <c r="G112" i="3"/>
  <c r="F112"/>
  <c r="E112"/>
  <c r="Q112"/>
  <c r="O112"/>
  <c r="M112"/>
  <c r="D112"/>
  <c r="L112"/>
  <c r="N103" i="1" s="1"/>
  <c r="K112" i="3"/>
  <c r="M103" i="1" s="1"/>
  <c r="R112" i="3"/>
  <c r="N112"/>
  <c r="H103" i="1" s="1"/>
  <c r="I112" i="3"/>
  <c r="K103" i="1" s="1"/>
  <c r="P112" i="3"/>
  <c r="J112"/>
  <c r="L103" i="1" s="1"/>
  <c r="H112" i="3"/>
  <c r="D103" i="1" s="1"/>
  <c r="G48" i="3"/>
  <c r="F48"/>
  <c r="E48"/>
  <c r="D48"/>
  <c r="K48"/>
  <c r="M39" i="1" s="1"/>
  <c r="Q48" i="3"/>
  <c r="O48"/>
  <c r="M48"/>
  <c r="L48"/>
  <c r="N39" i="1" s="1"/>
  <c r="R48" i="3"/>
  <c r="P48"/>
  <c r="N48"/>
  <c r="H39" i="1" s="1"/>
  <c r="J48" i="3"/>
  <c r="L39" i="1" s="1"/>
  <c r="I48" i="3"/>
  <c r="K39" i="1" s="1"/>
  <c r="H48" i="3"/>
  <c r="D39" i="1" s="1"/>
  <c r="G82" i="3"/>
  <c r="D82"/>
  <c r="E82"/>
  <c r="F82"/>
  <c r="L82"/>
  <c r="N73" i="1" s="1"/>
  <c r="Q82" i="3"/>
  <c r="O82"/>
  <c r="M82"/>
  <c r="K82"/>
  <c r="M73" i="1" s="1"/>
  <c r="R82" i="3"/>
  <c r="P82"/>
  <c r="N82"/>
  <c r="H73" i="1" s="1"/>
  <c r="J82" i="3"/>
  <c r="L73" i="1" s="1"/>
  <c r="I82" i="3"/>
  <c r="K73" i="1" s="1"/>
  <c r="H82" i="3"/>
  <c r="D73" i="1" s="1"/>
  <c r="F111" i="3"/>
  <c r="D111"/>
  <c r="L111"/>
  <c r="N102" i="1" s="1"/>
  <c r="K111" i="3"/>
  <c r="M102" i="1" s="1"/>
  <c r="Q111" i="3"/>
  <c r="O111"/>
  <c r="G111"/>
  <c r="P111"/>
  <c r="M111"/>
  <c r="I111"/>
  <c r="K102" i="1" s="1"/>
  <c r="E111" i="3"/>
  <c r="R111"/>
  <c r="N111"/>
  <c r="H102" i="1" s="1"/>
  <c r="J111" i="3"/>
  <c r="L102" i="1" s="1"/>
  <c r="H111" i="3"/>
  <c r="D102" i="1" s="1"/>
  <c r="F47" i="3"/>
  <c r="D47"/>
  <c r="L47"/>
  <c r="N38" i="1" s="1"/>
  <c r="K47" i="3"/>
  <c r="M38" i="1" s="1"/>
  <c r="G47" i="3"/>
  <c r="Q47"/>
  <c r="O47"/>
  <c r="M47"/>
  <c r="E47"/>
  <c r="R47"/>
  <c r="P47"/>
  <c r="N47"/>
  <c r="H38" i="1" s="1"/>
  <c r="J47" i="3"/>
  <c r="L38" i="1" s="1"/>
  <c r="H47" i="3"/>
  <c r="D38" i="1" s="1"/>
  <c r="I47" i="3"/>
  <c r="K38" i="1" s="1"/>
  <c r="G76" i="3"/>
  <c r="F76"/>
  <c r="E76"/>
  <c r="D76"/>
  <c r="K76"/>
  <c r="M67" i="1" s="1"/>
  <c r="Q76" i="3"/>
  <c r="O76"/>
  <c r="M76"/>
  <c r="L76"/>
  <c r="N67" i="1" s="1"/>
  <c r="R76" i="3"/>
  <c r="P76"/>
  <c r="N76"/>
  <c r="H67" i="1" s="1"/>
  <c r="J76" i="3"/>
  <c r="L67" i="1" s="1"/>
  <c r="I76" i="3"/>
  <c r="K67" i="1" s="1"/>
  <c r="H76" i="3"/>
  <c r="D67" i="1" s="1"/>
  <c r="G44" i="3"/>
  <c r="F44"/>
  <c r="E44"/>
  <c r="D44"/>
  <c r="K44"/>
  <c r="M35" i="1" s="1"/>
  <c r="Q44" i="3"/>
  <c r="O44"/>
  <c r="M44"/>
  <c r="L44"/>
  <c r="N35" i="1" s="1"/>
  <c r="R44" i="3"/>
  <c r="P44"/>
  <c r="N44"/>
  <c r="H35" i="1" s="1"/>
  <c r="J44" i="3"/>
  <c r="L35" i="1" s="1"/>
  <c r="I44" i="3"/>
  <c r="K35" i="1" s="1"/>
  <c r="H44" i="3"/>
  <c r="D35" i="1" s="1"/>
  <c r="J40" i="3"/>
  <c r="L31" i="1" s="1"/>
  <c r="L32" i="3"/>
  <c r="N23" i="1" s="1"/>
  <c r="L37" i="3"/>
  <c r="N28" i="1" s="1"/>
  <c r="L41" i="3"/>
  <c r="N32" i="1" s="1"/>
  <c r="G78" i="3"/>
  <c r="D78"/>
  <c r="E78"/>
  <c r="F78"/>
  <c r="L78"/>
  <c r="N69" i="1" s="1"/>
  <c r="Q78" i="3"/>
  <c r="O78"/>
  <c r="M78"/>
  <c r="K78"/>
  <c r="M69" i="1" s="1"/>
  <c r="R78" i="3"/>
  <c r="P78"/>
  <c r="N78"/>
  <c r="H69" i="1" s="1"/>
  <c r="J78" i="3"/>
  <c r="L69" i="1" s="1"/>
  <c r="I78" i="3"/>
  <c r="K69" i="1" s="1"/>
  <c r="H78" i="3"/>
  <c r="D69" i="1" s="1"/>
  <c r="F43" i="3"/>
  <c r="D43"/>
  <c r="L43"/>
  <c r="N34" i="1" s="1"/>
  <c r="K43" i="3"/>
  <c r="M34" i="1" s="1"/>
  <c r="G43" i="3"/>
  <c r="Q43"/>
  <c r="O43"/>
  <c r="M43"/>
  <c r="E43"/>
  <c r="R43"/>
  <c r="P43"/>
  <c r="N43"/>
  <c r="H34" i="1" s="1"/>
  <c r="J43" i="3"/>
  <c r="L34" i="1" s="1"/>
  <c r="H43" i="3"/>
  <c r="D34" i="1" s="1"/>
  <c r="I43" i="3"/>
  <c r="K34" i="1" s="1"/>
  <c r="G62" i="3"/>
  <c r="D62"/>
  <c r="E62"/>
  <c r="F62"/>
  <c r="L62"/>
  <c r="N53" i="1" s="1"/>
  <c r="Q62" i="3"/>
  <c r="O62"/>
  <c r="M62"/>
  <c r="K62"/>
  <c r="M53" i="1" s="1"/>
  <c r="R62" i="3"/>
  <c r="P62"/>
  <c r="N62"/>
  <c r="H53" i="1" s="1"/>
  <c r="J62" i="3"/>
  <c r="L53" i="1" s="1"/>
  <c r="I62" i="3"/>
  <c r="K53" i="1" s="1"/>
  <c r="H62" i="3"/>
  <c r="D53" i="1" s="1"/>
  <c r="F59" i="3"/>
  <c r="D59"/>
  <c r="L59"/>
  <c r="N50" i="1" s="1"/>
  <c r="K59" i="3"/>
  <c r="M50" i="1" s="1"/>
  <c r="G59" i="3"/>
  <c r="Q59"/>
  <c r="O59"/>
  <c r="M59"/>
  <c r="E59"/>
  <c r="R59"/>
  <c r="P59"/>
  <c r="N59"/>
  <c r="H50" i="1" s="1"/>
  <c r="J59" i="3"/>
  <c r="L50" i="1" s="1"/>
  <c r="H59" i="3"/>
  <c r="D50" i="1" s="1"/>
  <c r="I59" i="3"/>
  <c r="K50" i="1" s="1"/>
  <c r="G88" i="3"/>
  <c r="F88"/>
  <c r="E88"/>
  <c r="D88"/>
  <c r="K88"/>
  <c r="M79" i="1" s="1"/>
  <c r="Q88" i="3"/>
  <c r="O88"/>
  <c r="M88"/>
  <c r="L88"/>
  <c r="N79" i="1" s="1"/>
  <c r="R88" i="3"/>
  <c r="P88"/>
  <c r="N88"/>
  <c r="H79" i="1" s="1"/>
  <c r="J88" i="3"/>
  <c r="L79" i="1" s="1"/>
  <c r="I88" i="3"/>
  <c r="K79" i="1" s="1"/>
  <c r="H88" i="3"/>
  <c r="D79" i="1" s="1"/>
  <c r="G90" i="3"/>
  <c r="D90"/>
  <c r="E90"/>
  <c r="F90"/>
  <c r="L90"/>
  <c r="N81" i="1" s="1"/>
  <c r="Q90" i="3"/>
  <c r="O90"/>
  <c r="M90"/>
  <c r="K90"/>
  <c r="M81" i="1" s="1"/>
  <c r="R90" i="3"/>
  <c r="P90"/>
  <c r="N90"/>
  <c r="H81" i="1" s="1"/>
  <c r="J90" i="3"/>
  <c r="L81" i="1" s="1"/>
  <c r="I90" i="3"/>
  <c r="K81" i="1" s="1"/>
  <c r="H90" i="3"/>
  <c r="D81" i="1" s="1"/>
  <c r="F87" i="3"/>
  <c r="D87"/>
  <c r="L87"/>
  <c r="N78" i="1" s="1"/>
  <c r="K87" i="3"/>
  <c r="M78" i="1" s="1"/>
  <c r="G87" i="3"/>
  <c r="Q87"/>
  <c r="O87"/>
  <c r="M87"/>
  <c r="E87"/>
  <c r="R87"/>
  <c r="P87"/>
  <c r="N87"/>
  <c r="H78" i="1" s="1"/>
  <c r="J87" i="3"/>
  <c r="L78" i="1" s="1"/>
  <c r="I87" i="3"/>
  <c r="K78" i="1" s="1"/>
  <c r="H87" i="3"/>
  <c r="D78" i="1" s="1"/>
  <c r="G86" i="3"/>
  <c r="D86"/>
  <c r="E86"/>
  <c r="F86"/>
  <c r="L86"/>
  <c r="N77" i="1" s="1"/>
  <c r="Q86" i="3"/>
  <c r="O86"/>
  <c r="M86"/>
  <c r="K86"/>
  <c r="M77" i="1" s="1"/>
  <c r="R86" i="3"/>
  <c r="P86"/>
  <c r="N86"/>
  <c r="H77" i="1" s="1"/>
  <c r="J86" i="3"/>
  <c r="L77" i="1" s="1"/>
  <c r="I86" i="3"/>
  <c r="K77" i="1" s="1"/>
  <c r="H86" i="3"/>
  <c r="D77" i="1" s="1"/>
  <c r="F99" i="3"/>
  <c r="D99"/>
  <c r="L99"/>
  <c r="N90" i="1" s="1"/>
  <c r="K99" i="3"/>
  <c r="M90" i="1" s="1"/>
  <c r="G99" i="3"/>
  <c r="Q99"/>
  <c r="O99"/>
  <c r="M99"/>
  <c r="E99"/>
  <c r="R99"/>
  <c r="P99"/>
  <c r="N99"/>
  <c r="H90" i="1" s="1"/>
  <c r="J99" i="3"/>
  <c r="L90" i="1" s="1"/>
  <c r="I99" i="3"/>
  <c r="K90" i="1" s="1"/>
  <c r="H99" i="3"/>
  <c r="D90" i="1" s="1"/>
  <c r="G96" i="3"/>
  <c r="F96"/>
  <c r="E96"/>
  <c r="D96"/>
  <c r="K96"/>
  <c r="M87" i="1" s="1"/>
  <c r="Q96" i="3"/>
  <c r="O96"/>
  <c r="M96"/>
  <c r="L96"/>
  <c r="N87" i="1" s="1"/>
  <c r="R96" i="3"/>
  <c r="P96"/>
  <c r="N96"/>
  <c r="H87" i="1" s="1"/>
  <c r="J96" i="3"/>
  <c r="L87" i="1" s="1"/>
  <c r="I96" i="3"/>
  <c r="K87" i="1" s="1"/>
  <c r="H96" i="3"/>
  <c r="D87" i="1" s="1"/>
  <c r="G98" i="3"/>
  <c r="D98"/>
  <c r="E98"/>
  <c r="F98"/>
  <c r="L98"/>
  <c r="N89" i="1" s="1"/>
  <c r="Q98" i="3"/>
  <c r="O98"/>
  <c r="M98"/>
  <c r="K98"/>
  <c r="M89" i="1" s="1"/>
  <c r="R98" i="3"/>
  <c r="P98"/>
  <c r="N98"/>
  <c r="H89" i="1" s="1"/>
  <c r="J98" i="3"/>
  <c r="L89" i="1" s="1"/>
  <c r="I98" i="3"/>
  <c r="K89" i="1" s="1"/>
  <c r="H98" i="3"/>
  <c r="D89" i="1" s="1"/>
  <c r="F95" i="3"/>
  <c r="D95"/>
  <c r="L95"/>
  <c r="N86" i="1" s="1"/>
  <c r="K95" i="3"/>
  <c r="M86" i="1" s="1"/>
  <c r="G95" i="3"/>
  <c r="Q95"/>
  <c r="O95"/>
  <c r="M95"/>
  <c r="E95"/>
  <c r="R95"/>
  <c r="P95"/>
  <c r="N95"/>
  <c r="H86" i="1" s="1"/>
  <c r="J95" i="3"/>
  <c r="L86" i="1" s="1"/>
  <c r="I95" i="3"/>
  <c r="K86" i="1" s="1"/>
  <c r="H95" i="3"/>
  <c r="D86" i="1" s="1"/>
  <c r="G92" i="3"/>
  <c r="F92"/>
  <c r="E92"/>
  <c r="D92"/>
  <c r="K92"/>
  <c r="M83" i="1" s="1"/>
  <c r="Q92" i="3"/>
  <c r="O92"/>
  <c r="M92"/>
  <c r="L92"/>
  <c r="N83" i="1" s="1"/>
  <c r="R92" i="3"/>
  <c r="P92"/>
  <c r="N92"/>
  <c r="H83" i="1" s="1"/>
  <c r="J92" i="3"/>
  <c r="L83" i="1" s="1"/>
  <c r="I92" i="3"/>
  <c r="K83" i="1" s="1"/>
  <c r="H92" i="3"/>
  <c r="D83" i="1" s="1"/>
  <c r="G68" i="3"/>
  <c r="F68"/>
  <c r="E68"/>
  <c r="D68"/>
  <c r="K68"/>
  <c r="M59" i="1" s="1"/>
  <c r="Q68" i="3"/>
  <c r="O68"/>
  <c r="M68"/>
  <c r="L68"/>
  <c r="N59" i="1" s="1"/>
  <c r="R68" i="3"/>
  <c r="P68"/>
  <c r="N68"/>
  <c r="H59" i="1" s="1"/>
  <c r="J68" i="3"/>
  <c r="L59" i="1" s="1"/>
  <c r="I68" i="3"/>
  <c r="K59" i="1" s="1"/>
  <c r="H68" i="3"/>
  <c r="D59" i="1" s="1"/>
  <c r="G110" i="3"/>
  <c r="D110"/>
  <c r="E110"/>
  <c r="F110"/>
  <c r="L110"/>
  <c r="N101" i="1" s="1"/>
  <c r="Q110" i="3"/>
  <c r="O110"/>
  <c r="M110"/>
  <c r="I110"/>
  <c r="K101" i="1" s="1"/>
  <c r="K110" i="3"/>
  <c r="M101" i="1" s="1"/>
  <c r="R110" i="3"/>
  <c r="P110"/>
  <c r="N110"/>
  <c r="H101" i="1" s="1"/>
  <c r="J110" i="3"/>
  <c r="L101" i="1" s="1"/>
  <c r="H110" i="3"/>
  <c r="D101" i="1" s="1"/>
  <c r="F75" i="3"/>
  <c r="D75"/>
  <c r="L75"/>
  <c r="N66" i="1" s="1"/>
  <c r="K75" i="3"/>
  <c r="M66" i="1" s="1"/>
  <c r="G75" i="3"/>
  <c r="Q75"/>
  <c r="O75"/>
  <c r="M75"/>
  <c r="E75"/>
  <c r="R75"/>
  <c r="P75"/>
  <c r="N75"/>
  <c r="H66" i="1" s="1"/>
  <c r="J75" i="3"/>
  <c r="L66" i="1" s="1"/>
  <c r="I75" i="3"/>
  <c r="K66" i="1" s="1"/>
  <c r="H75" i="3"/>
  <c r="D66" i="1" s="1"/>
  <c r="G72" i="3"/>
  <c r="F72"/>
  <c r="E72"/>
  <c r="D72"/>
  <c r="K72"/>
  <c r="M63" i="1" s="1"/>
  <c r="Q72" i="3"/>
  <c r="O72"/>
  <c r="M72"/>
  <c r="L72"/>
  <c r="N63" i="1" s="1"/>
  <c r="R72" i="3"/>
  <c r="P72"/>
  <c r="N72"/>
  <c r="H63" i="1" s="1"/>
  <c r="J72" i="3"/>
  <c r="L63" i="1" s="1"/>
  <c r="I72" i="3"/>
  <c r="K63" i="1" s="1"/>
  <c r="H72" i="3"/>
  <c r="D63" i="1" s="1"/>
  <c r="G106" i="3"/>
  <c r="D106"/>
  <c r="E106"/>
  <c r="F106"/>
  <c r="L106"/>
  <c r="N97" i="1" s="1"/>
  <c r="Q106" i="3"/>
  <c r="O106"/>
  <c r="M106"/>
  <c r="I106"/>
  <c r="K97" i="1" s="1"/>
  <c r="K106" i="3"/>
  <c r="M97" i="1" s="1"/>
  <c r="R106" i="3"/>
  <c r="P106"/>
  <c r="N106"/>
  <c r="H97" i="1" s="1"/>
  <c r="J106" i="3"/>
  <c r="L97" i="1" s="1"/>
  <c r="H106" i="3"/>
  <c r="D97" i="1" s="1"/>
  <c r="G42" i="3"/>
  <c r="D42"/>
  <c r="E42"/>
  <c r="F42"/>
  <c r="L42"/>
  <c r="N33" i="1" s="1"/>
  <c r="Q42" i="3"/>
  <c r="O42"/>
  <c r="M42"/>
  <c r="K42"/>
  <c r="M33" i="1" s="1"/>
  <c r="R42" i="3"/>
  <c r="P42"/>
  <c r="N42"/>
  <c r="H33" i="1" s="1"/>
  <c r="J42" i="3"/>
  <c r="L33" i="1" s="1"/>
  <c r="I42" i="3"/>
  <c r="K33" i="1" s="1"/>
  <c r="H42" i="3"/>
  <c r="D33" i="1" s="1"/>
  <c r="F71" i="3"/>
  <c r="D71"/>
  <c r="L71"/>
  <c r="N62" i="1" s="1"/>
  <c r="K71" i="3"/>
  <c r="M62" i="1" s="1"/>
  <c r="G71" i="3"/>
  <c r="Q71"/>
  <c r="O71"/>
  <c r="M71"/>
  <c r="E71"/>
  <c r="R71"/>
  <c r="P71"/>
  <c r="N71"/>
  <c r="H62" i="1" s="1"/>
  <c r="J71" i="3"/>
  <c r="L62" i="1" s="1"/>
  <c r="I71" i="3"/>
  <c r="K62" i="1" s="1"/>
  <c r="H71" i="3"/>
  <c r="D62" i="1" s="1"/>
  <c r="G70" i="3"/>
  <c r="D70"/>
  <c r="E70"/>
  <c r="F70"/>
  <c r="L70"/>
  <c r="N61" i="1" s="1"/>
  <c r="Q70" i="3"/>
  <c r="O70"/>
  <c r="M70"/>
  <c r="K70"/>
  <c r="M61" i="1" s="1"/>
  <c r="R70" i="3"/>
  <c r="P70"/>
  <c r="N70"/>
  <c r="H61" i="1" s="1"/>
  <c r="J70" i="3"/>
  <c r="L61" i="1" s="1"/>
  <c r="I70" i="3"/>
  <c r="K61" i="1" s="1"/>
  <c r="H70" i="3"/>
  <c r="D61" i="1" s="1"/>
  <c r="F51" i="3"/>
  <c r="D51"/>
  <c r="L51"/>
  <c r="N42" i="1" s="1"/>
  <c r="K51" i="3"/>
  <c r="M42" i="1" s="1"/>
  <c r="G51" i="3"/>
  <c r="Q51"/>
  <c r="O51"/>
  <c r="M51"/>
  <c r="E51"/>
  <c r="R51"/>
  <c r="P51"/>
  <c r="N51"/>
  <c r="H42" i="1" s="1"/>
  <c r="J51" i="3"/>
  <c r="L42" i="1" s="1"/>
  <c r="H51" i="3"/>
  <c r="D42" i="1" s="1"/>
  <c r="I51" i="3"/>
  <c r="K42" i="1" s="1"/>
  <c r="G80" i="3"/>
  <c r="F80"/>
  <c r="E80"/>
  <c r="D80"/>
  <c r="K80"/>
  <c r="M71" i="1" s="1"/>
  <c r="Q80" i="3"/>
  <c r="O80"/>
  <c r="M80"/>
  <c r="L80"/>
  <c r="N71" i="1" s="1"/>
  <c r="R80" i="3"/>
  <c r="P80"/>
  <c r="N80"/>
  <c r="H71" i="1" s="1"/>
  <c r="J80" i="3"/>
  <c r="L71" i="1" s="1"/>
  <c r="I80" i="3"/>
  <c r="K71" i="1" s="1"/>
  <c r="H80" i="3"/>
  <c r="D71" i="1" s="1"/>
  <c r="G114" i="3"/>
  <c r="D114"/>
  <c r="E114"/>
  <c r="Q114"/>
  <c r="O114"/>
  <c r="M114"/>
  <c r="F114"/>
  <c r="L114"/>
  <c r="N105" i="1" s="1"/>
  <c r="R114" i="3"/>
  <c r="N114"/>
  <c r="H105" i="1" s="1"/>
  <c r="I114" i="3"/>
  <c r="K105" i="1" s="1"/>
  <c r="K114" i="3"/>
  <c r="M105" i="1" s="1"/>
  <c r="P114" i="3"/>
  <c r="J114"/>
  <c r="L105" i="1" s="1"/>
  <c r="H114" i="3"/>
  <c r="D105" i="1" s="1"/>
  <c r="O22" i="6"/>
  <c r="O19"/>
  <c r="O18"/>
  <c r="O12"/>
  <c r="O11"/>
  <c r="O16"/>
  <c r="O21"/>
  <c r="O15"/>
  <c r="O13"/>
  <c r="O14"/>
  <c r="O20"/>
  <c r="O17"/>
  <c r="O10"/>
  <c r="G50" i="3"/>
  <c r="D50"/>
  <c r="E50"/>
  <c r="F50"/>
  <c r="L50"/>
  <c r="N41" i="1" s="1"/>
  <c r="Q50" i="3"/>
  <c r="O50"/>
  <c r="M50"/>
  <c r="K50"/>
  <c r="M41" i="1" s="1"/>
  <c r="R50" i="3"/>
  <c r="P50"/>
  <c r="N50"/>
  <c r="H41" i="1" s="1"/>
  <c r="J50" i="3"/>
  <c r="L41" i="1" s="1"/>
  <c r="I50" i="3"/>
  <c r="K41" i="1" s="1"/>
  <c r="H50" i="3"/>
  <c r="D41" i="1" s="1"/>
  <c r="F79" i="3"/>
  <c r="D79"/>
  <c r="L79"/>
  <c r="N70" i="1" s="1"/>
  <c r="K79" i="3"/>
  <c r="M70" i="1" s="1"/>
  <c r="G79" i="3"/>
  <c r="Q79"/>
  <c r="O79"/>
  <c r="M79"/>
  <c r="E79"/>
  <c r="R79"/>
  <c r="P79"/>
  <c r="N79"/>
  <c r="H70" i="1" s="1"/>
  <c r="J79" i="3"/>
  <c r="L70" i="1" s="1"/>
  <c r="I79" i="3"/>
  <c r="K70" i="1" s="1"/>
  <c r="H79" i="3"/>
  <c r="D70" i="1" s="1"/>
  <c r="G108" i="3"/>
  <c r="F108"/>
  <c r="E108"/>
  <c r="D108"/>
  <c r="L108"/>
  <c r="N99" i="1" s="1"/>
  <c r="K108" i="3"/>
  <c r="M99" i="1" s="1"/>
  <c r="Q108" i="3"/>
  <c r="O108"/>
  <c r="M108"/>
  <c r="I108"/>
  <c r="K99" i="1" s="1"/>
  <c r="R108" i="3"/>
  <c r="P108"/>
  <c r="N108"/>
  <c r="H99" i="1" s="1"/>
  <c r="J108" i="3"/>
  <c r="L99" i="1" s="1"/>
  <c r="H108" i="3"/>
  <c r="D99" i="1" s="1"/>
  <c r="G100" i="3"/>
  <c r="F100"/>
  <c r="E100"/>
  <c r="D100"/>
  <c r="K100"/>
  <c r="M91" i="1" s="1"/>
  <c r="Q100" i="3"/>
  <c r="O100"/>
  <c r="M100"/>
  <c r="L100"/>
  <c r="N91" i="1" s="1"/>
  <c r="R100" i="3"/>
  <c r="P100"/>
  <c r="N100"/>
  <c r="H91" i="1" s="1"/>
  <c r="J100" i="3"/>
  <c r="L91" i="1" s="1"/>
  <c r="I100" i="3"/>
  <c r="K91" i="1" s="1"/>
  <c r="H100" i="3"/>
  <c r="D91" i="1" s="1"/>
  <c r="G52" i="3"/>
  <c r="F52"/>
  <c r="E52"/>
  <c r="D52"/>
  <c r="K52"/>
  <c r="M43" i="1" s="1"/>
  <c r="Q52" i="3"/>
  <c r="O52"/>
  <c r="M52"/>
  <c r="L52"/>
  <c r="N43" i="1" s="1"/>
  <c r="R52" i="3"/>
  <c r="P52"/>
  <c r="N52"/>
  <c r="H43" i="1" s="1"/>
  <c r="J52" i="3"/>
  <c r="L43" i="1" s="1"/>
  <c r="I52" i="3"/>
  <c r="K43" i="1" s="1"/>
  <c r="H52" i="3"/>
  <c r="D43" i="1" s="1"/>
  <c r="Q17" i="6" l="1"/>
  <c r="N17"/>
  <c r="N14"/>
  <c r="Q14"/>
  <c r="O28"/>
  <c r="Q28" s="1"/>
  <c r="Q15"/>
  <c r="N15"/>
  <c r="Q16"/>
  <c r="N16"/>
  <c r="N12"/>
  <c r="Q12"/>
  <c r="Q19"/>
  <c r="N19"/>
  <c r="C6" i="8"/>
  <c r="D7"/>
  <c r="C7"/>
  <c r="E5"/>
  <c r="H29" i="1"/>
  <c r="N13" i="3"/>
  <c r="O13"/>
  <c r="L39"/>
  <c r="N30" i="1" s="1"/>
  <c r="L38" i="3"/>
  <c r="N29" i="1" s="1"/>
  <c r="N10" i="6"/>
  <c r="Q10"/>
  <c r="Q20"/>
  <c r="N20"/>
  <c r="Q13"/>
  <c r="N13"/>
  <c r="Q21"/>
  <c r="N21"/>
  <c r="Q11"/>
  <c r="N11"/>
  <c r="Q18"/>
  <c r="N18"/>
  <c r="Q22"/>
  <c r="O29"/>
  <c r="Q29" s="1"/>
  <c r="O8"/>
  <c r="M13" i="3"/>
  <c r="O9" i="6"/>
  <c r="E7" i="8"/>
  <c r="D6"/>
  <c r="C5"/>
  <c r="E6"/>
  <c r="D5"/>
  <c r="J38" i="3"/>
  <c r="L29" i="1" s="1"/>
  <c r="Q9" i="6" l="1"/>
  <c r="N9"/>
  <c r="O27"/>
  <c r="N8"/>
  <c r="N27" s="1"/>
  <c r="O24"/>
  <c r="Q8"/>
  <c r="P13" i="3"/>
  <c r="G8" s="1"/>
  <c r="G7"/>
  <c r="N28" i="6"/>
  <c r="G6" i="3"/>
  <c r="Q13"/>
  <c r="G9" s="1"/>
  <c r="D10" i="8"/>
  <c r="Q24" i="6" l="1"/>
  <c r="N24"/>
  <c r="O31"/>
  <c r="Q27"/>
  <c r="Q31" l="1"/>
  <c r="N31"/>
</calcChain>
</file>

<file path=xl/comments1.xml><?xml version="1.0" encoding="utf-8"?>
<comments xmlns="http://schemas.openxmlformats.org/spreadsheetml/2006/main">
  <authors>
    <author>System Administrator</author>
    <author>je</author>
  </authors>
  <commentList>
    <comment ref="F22" authorId="0">
      <text>
        <r>
          <rPr>
            <b/>
            <sz val="8"/>
            <color indexed="81"/>
            <rFont val="Tahoma"/>
          </rPr>
          <t>If data has not been imported from baseline, floor are is multiplied by DEC benchmarks</t>
        </r>
      </text>
    </comment>
    <comment ref="G22" authorId="0">
      <text>
        <r>
          <rPr>
            <b/>
            <sz val="8"/>
            <color indexed="81"/>
            <rFont val="Tahoma"/>
          </rPr>
          <t>If data has not been imported from baseline, floor are is multiplied by DEC benchmarks</t>
        </r>
      </text>
    </comment>
    <comment ref="H22" authorId="0">
      <text>
        <r>
          <rPr>
            <b/>
            <sz val="8"/>
            <color indexed="81"/>
            <rFont val="Tahoma"/>
          </rPr>
          <t>Carbon emissions assume standard grid electricity and all heating from gas</t>
        </r>
      </text>
    </comment>
    <comment ref="F54" authorId="1">
      <text>
        <r>
          <rPr>
            <sz val="8"/>
            <color indexed="81"/>
            <rFont val="Tahoma"/>
          </rPr>
          <t>Air Travel must be in a separate category to Petrol or Diesel</t>
        </r>
      </text>
    </comment>
    <comment ref="H54" authorId="1">
      <text>
        <r>
          <rPr>
            <sz val="8"/>
            <color indexed="81"/>
            <rFont val="Tahoma"/>
            <family val="2"/>
          </rPr>
          <t>Currently excludes costs relating to Air Travel</t>
        </r>
      </text>
    </comment>
  </commentList>
</comments>
</file>

<file path=xl/comments2.xml><?xml version="1.0" encoding="utf-8"?>
<comments xmlns="http://schemas.openxmlformats.org/spreadsheetml/2006/main">
  <authors>
    <author>jhm</author>
    <author>je</author>
    <author>System Administrator</author>
  </authors>
  <commentList>
    <comment ref="H12" authorId="0">
      <text>
        <r>
          <rPr>
            <sz val="8"/>
            <color indexed="81"/>
            <rFont val="Tahoma"/>
          </rPr>
          <t>i.e. space heating is typically 94% of gas consumption</t>
        </r>
      </text>
    </comment>
    <comment ref="H13" authorId="1">
      <text>
        <r>
          <rPr>
            <b/>
            <sz val="8"/>
            <color indexed="81"/>
            <rFont val="Tahoma"/>
          </rPr>
          <t>Working Estimate</t>
        </r>
      </text>
    </comment>
    <comment ref="K13" authorId="2">
      <text>
        <r>
          <rPr>
            <b/>
            <sz val="8"/>
            <color indexed="81"/>
            <rFont val="Tahoma"/>
          </rPr>
          <t>£500/tonne CO2 is Salix average for all projects.  Used where better data is unavailable</t>
        </r>
      </text>
    </comment>
    <comment ref="H14" authorId="1">
      <text>
        <r>
          <rPr>
            <b/>
            <sz val="8"/>
            <color indexed="81"/>
            <rFont val="Tahoma"/>
          </rPr>
          <t>Working Estimate</t>
        </r>
      </text>
    </comment>
    <comment ref="K14" authorId="2">
      <text>
        <r>
          <rPr>
            <b/>
            <sz val="8"/>
            <color indexed="81"/>
            <rFont val="Tahoma"/>
          </rPr>
          <t>£500/tonne CO2 is Salix average for all projects.  Used where better data is unavailable</t>
        </r>
      </text>
    </comment>
    <comment ref="H15" authorId="1">
      <text>
        <r>
          <rPr>
            <b/>
            <sz val="8"/>
            <color indexed="81"/>
            <rFont val="Tahoma"/>
          </rPr>
          <t>Working Estimate</t>
        </r>
      </text>
    </comment>
    <comment ref="I15" authorId="1">
      <text>
        <r>
          <rPr>
            <b/>
            <sz val="8"/>
            <color indexed="81"/>
            <rFont val="Tahoma"/>
          </rPr>
          <t>from previous project</t>
        </r>
      </text>
    </comment>
    <comment ref="J15" authorId="1">
      <text>
        <r>
          <rPr>
            <sz val="8"/>
            <color indexed="81"/>
            <rFont val="Tahoma"/>
            <family val="2"/>
          </rPr>
          <t>As 50% Utility is too high for electricity for BMS savings thid figure has been reeduced to 2%</t>
        </r>
        <r>
          <rPr>
            <b/>
            <sz val="8"/>
            <color indexed="81"/>
            <rFont val="Tahoma"/>
          </rPr>
          <t xml:space="preserve"> </t>
        </r>
      </text>
    </comment>
    <comment ref="K15" authorId="2">
      <text>
        <r>
          <rPr>
            <b/>
            <sz val="8"/>
            <color indexed="81"/>
            <rFont val="Tahoma"/>
          </rPr>
          <t>Previous projects</t>
        </r>
      </text>
    </comment>
    <comment ref="H16" authorId="1">
      <text>
        <r>
          <rPr>
            <b/>
            <sz val="8"/>
            <color indexed="81"/>
            <rFont val="Tahoma"/>
          </rPr>
          <t>Working Estimate</t>
        </r>
      </text>
    </comment>
    <comment ref="I16" authorId="1">
      <text>
        <r>
          <rPr>
            <b/>
            <sz val="8"/>
            <color indexed="81"/>
            <rFont val="Tahoma"/>
          </rPr>
          <t>from previous project</t>
        </r>
      </text>
    </comment>
    <comment ref="J16" authorId="1">
      <text>
        <r>
          <rPr>
            <sz val="8"/>
            <color indexed="81"/>
            <rFont val="Tahoma"/>
            <family val="2"/>
          </rPr>
          <t>As 50% Utility is too high for electricity for BMS savings thid figure has been reeduced to 2%</t>
        </r>
        <r>
          <rPr>
            <b/>
            <sz val="8"/>
            <color indexed="81"/>
            <rFont val="Tahoma"/>
          </rPr>
          <t xml:space="preserve"> </t>
        </r>
      </text>
    </comment>
    <comment ref="K16" authorId="2">
      <text>
        <r>
          <rPr>
            <b/>
            <sz val="8"/>
            <color indexed="81"/>
            <rFont val="Tahoma"/>
          </rPr>
          <t xml:space="preserve">Ref: Salix
</t>
        </r>
      </text>
    </comment>
    <comment ref="I17" authorId="2">
      <text>
        <r>
          <rPr>
            <b/>
            <sz val="8"/>
            <color indexed="81"/>
            <rFont val="Tahoma"/>
          </rPr>
          <t>Mid range values from EPG312</t>
        </r>
      </text>
    </comment>
    <comment ref="K17" authorId="2">
      <text>
        <r>
          <rPr>
            <b/>
            <sz val="8"/>
            <color indexed="81"/>
            <rFont val="Tahoma"/>
          </rPr>
          <t xml:space="preserve">Ref: Salix
</t>
        </r>
      </text>
    </comment>
    <comment ref="I18" authorId="2">
      <text>
        <r>
          <rPr>
            <b/>
            <sz val="8"/>
            <color indexed="81"/>
            <rFont val="Tahoma"/>
          </rPr>
          <t>Mid range values from EPG312</t>
        </r>
      </text>
    </comment>
    <comment ref="K18" authorId="2">
      <text>
        <r>
          <rPr>
            <b/>
            <sz val="8"/>
            <color indexed="81"/>
            <rFont val="Tahoma"/>
          </rPr>
          <t xml:space="preserve">Ref: Salix
</t>
        </r>
      </text>
    </comment>
    <comment ref="I19" authorId="2">
      <text>
        <r>
          <rPr>
            <b/>
            <sz val="8"/>
            <color indexed="81"/>
            <rFont val="Tahoma"/>
          </rPr>
          <t>Mid range values from EPG312</t>
        </r>
      </text>
    </comment>
    <comment ref="K19" authorId="2">
      <text>
        <r>
          <rPr>
            <b/>
            <sz val="8"/>
            <color indexed="81"/>
            <rFont val="Tahoma"/>
          </rPr>
          <t xml:space="preserve">Ref: Salix
</t>
        </r>
      </text>
    </comment>
    <comment ref="I20" authorId="2">
      <text>
        <r>
          <rPr>
            <b/>
            <sz val="8"/>
            <color indexed="81"/>
            <rFont val="Tahoma"/>
          </rPr>
          <t>Mid range values from EPG312</t>
        </r>
      </text>
    </comment>
    <comment ref="K20" authorId="2">
      <text>
        <r>
          <rPr>
            <b/>
            <sz val="8"/>
            <color indexed="81"/>
            <rFont val="Tahoma"/>
          </rPr>
          <t xml:space="preserve">Ref: Salix
</t>
        </r>
      </text>
    </comment>
    <comment ref="I21" authorId="2">
      <text>
        <r>
          <rPr>
            <b/>
            <sz val="8"/>
            <color indexed="81"/>
            <rFont val="Tahoma"/>
          </rPr>
          <t>Mid range values from EPG312</t>
        </r>
      </text>
    </comment>
    <comment ref="K21" authorId="2">
      <text>
        <r>
          <rPr>
            <b/>
            <sz val="8"/>
            <color indexed="81"/>
            <rFont val="Tahoma"/>
          </rPr>
          <t xml:space="preserve">Ref: Salix
</t>
        </r>
      </text>
    </comment>
    <comment ref="I22" authorId="2">
      <text>
        <r>
          <rPr>
            <b/>
            <sz val="8"/>
            <color indexed="81"/>
            <rFont val="Tahoma"/>
          </rPr>
          <t>Working estimate</t>
        </r>
      </text>
    </comment>
    <comment ref="K22" authorId="2">
      <text>
        <r>
          <rPr>
            <b/>
            <sz val="8"/>
            <color indexed="81"/>
            <rFont val="Tahoma"/>
          </rPr>
          <t xml:space="preserve">Ref: Salix
</t>
        </r>
      </text>
    </comment>
    <comment ref="I23" authorId="2">
      <text>
        <r>
          <rPr>
            <b/>
            <sz val="8"/>
            <color indexed="81"/>
            <rFont val="Tahoma"/>
          </rPr>
          <t>Reference LACM Deck of Cards</t>
        </r>
      </text>
    </comment>
    <comment ref="K23" authorId="2">
      <text>
        <r>
          <rPr>
            <b/>
            <sz val="8"/>
            <color indexed="81"/>
            <rFont val="Tahoma"/>
          </rPr>
          <t>Previous projects</t>
        </r>
      </text>
    </comment>
    <comment ref="I24" authorId="2">
      <text>
        <r>
          <rPr>
            <b/>
            <sz val="8"/>
            <color indexed="81"/>
            <rFont val="Tahoma"/>
          </rPr>
          <t>Working estimate</t>
        </r>
      </text>
    </comment>
    <comment ref="K24" authorId="2">
      <text>
        <r>
          <rPr>
            <b/>
            <sz val="8"/>
            <color indexed="81"/>
            <rFont val="Tahoma"/>
          </rPr>
          <t>Previous projects</t>
        </r>
      </text>
    </comment>
    <comment ref="H25" authorId="2">
      <text>
        <r>
          <rPr>
            <b/>
            <sz val="8"/>
            <color indexed="81"/>
            <rFont val="Tahoma"/>
          </rPr>
          <t>Derived from ECG019</t>
        </r>
      </text>
    </comment>
    <comment ref="I25" authorId="2">
      <text>
        <r>
          <rPr>
            <b/>
            <sz val="8"/>
            <color indexed="81"/>
            <rFont val="Tahoma"/>
          </rPr>
          <t>Mid range values from EPG312</t>
        </r>
      </text>
    </comment>
    <comment ref="K25" authorId="2">
      <text>
        <r>
          <rPr>
            <b/>
            <sz val="8"/>
            <color indexed="81"/>
            <rFont val="Tahoma"/>
          </rPr>
          <t xml:space="preserve">Ref: Salix
</t>
        </r>
      </text>
    </comment>
    <comment ref="I26" authorId="2">
      <text>
        <r>
          <rPr>
            <b/>
            <sz val="8"/>
            <color indexed="81"/>
            <rFont val="Tahoma"/>
          </rPr>
          <t>Based on carbon saving from biomass boilers</t>
        </r>
        <r>
          <rPr>
            <sz val="8"/>
            <color indexed="81"/>
            <rFont val="Tahoma"/>
          </rPr>
          <t xml:space="preserve">
</t>
        </r>
      </text>
    </comment>
    <comment ref="K26" authorId="2">
      <text>
        <r>
          <rPr>
            <b/>
            <sz val="8"/>
            <color indexed="81"/>
            <rFont val="Tahoma"/>
          </rPr>
          <t>Previous projects</t>
        </r>
      </text>
    </comment>
    <comment ref="I27" authorId="2">
      <text>
        <r>
          <rPr>
            <b/>
            <sz val="8"/>
            <color indexed="81"/>
            <rFont val="Tahoma"/>
          </rPr>
          <t>Mid range values from EPG312</t>
        </r>
      </text>
    </comment>
    <comment ref="K27" authorId="2">
      <text>
        <r>
          <rPr>
            <b/>
            <sz val="8"/>
            <color indexed="81"/>
            <rFont val="Tahoma"/>
          </rPr>
          <t>Previous projects</t>
        </r>
      </text>
    </comment>
    <comment ref="J28" authorId="2">
      <text>
        <r>
          <rPr>
            <b/>
            <sz val="8"/>
            <color indexed="81"/>
            <rFont val="Tahoma"/>
          </rPr>
          <t>working estimate</t>
        </r>
      </text>
    </comment>
    <comment ref="K28" authorId="2">
      <text>
        <r>
          <rPr>
            <b/>
            <sz val="8"/>
            <color indexed="81"/>
            <rFont val="Tahoma"/>
          </rPr>
          <t>Previous projects</t>
        </r>
      </text>
    </comment>
    <comment ref="J29" authorId="2">
      <text>
        <r>
          <rPr>
            <b/>
            <sz val="8"/>
            <color indexed="81"/>
            <rFont val="Tahoma"/>
          </rPr>
          <t>working estimate</t>
        </r>
      </text>
    </comment>
    <comment ref="K29" authorId="2">
      <text>
        <r>
          <rPr>
            <b/>
            <sz val="8"/>
            <color indexed="81"/>
            <rFont val="Tahoma"/>
          </rPr>
          <t>Previous projects</t>
        </r>
      </text>
    </comment>
    <comment ref="J30" authorId="2">
      <text>
        <r>
          <rPr>
            <b/>
            <sz val="8"/>
            <color indexed="81"/>
            <rFont val="Tahoma"/>
          </rPr>
          <t>working estimate</t>
        </r>
      </text>
    </comment>
    <comment ref="K30" authorId="2">
      <text>
        <r>
          <rPr>
            <b/>
            <sz val="8"/>
            <color indexed="81"/>
            <rFont val="Tahoma"/>
          </rPr>
          <t>Previous projects</t>
        </r>
      </text>
    </comment>
    <comment ref="H31" authorId="1">
      <text>
        <r>
          <rPr>
            <sz val="8"/>
            <color indexed="81"/>
            <rFont val="Tahoma"/>
          </rPr>
          <t xml:space="preserve">
Working estimate</t>
        </r>
      </text>
    </comment>
    <comment ref="J31" authorId="2">
      <text>
        <r>
          <rPr>
            <b/>
            <sz val="8"/>
            <color indexed="81"/>
            <rFont val="Tahoma"/>
          </rPr>
          <t>working estimate</t>
        </r>
      </text>
    </comment>
    <comment ref="K31" authorId="2">
      <text>
        <r>
          <rPr>
            <b/>
            <sz val="8"/>
            <color indexed="81"/>
            <rFont val="Tahoma"/>
          </rPr>
          <t>Previous projects</t>
        </r>
      </text>
    </comment>
    <comment ref="J32" authorId="2">
      <text>
        <r>
          <rPr>
            <b/>
            <sz val="8"/>
            <color indexed="81"/>
            <rFont val="Tahoma"/>
          </rPr>
          <t>Mid range values from EPG312</t>
        </r>
      </text>
    </comment>
    <comment ref="K32" authorId="2">
      <text>
        <r>
          <rPr>
            <b/>
            <sz val="8"/>
            <color indexed="81"/>
            <rFont val="Tahoma"/>
          </rPr>
          <t>Previous projects</t>
        </r>
      </text>
    </comment>
    <comment ref="J33" authorId="2">
      <text>
        <r>
          <rPr>
            <b/>
            <sz val="8"/>
            <color indexed="81"/>
            <rFont val="Tahoma"/>
          </rPr>
          <t>Mid range values from EPG312</t>
        </r>
      </text>
    </comment>
    <comment ref="K33" authorId="2">
      <text>
        <r>
          <rPr>
            <b/>
            <sz val="8"/>
            <color indexed="81"/>
            <rFont val="Tahoma"/>
          </rPr>
          <t>£500/tonne CO2 is Salix average for all projects.  Used where better data is unavailable</t>
        </r>
      </text>
    </comment>
    <comment ref="J34" authorId="2">
      <text>
        <r>
          <rPr>
            <b/>
            <sz val="8"/>
            <color indexed="81"/>
            <rFont val="Tahoma"/>
          </rPr>
          <t>Mid range values from EPG312</t>
        </r>
      </text>
    </comment>
    <comment ref="K34" authorId="2">
      <text>
        <r>
          <rPr>
            <b/>
            <sz val="8"/>
            <color indexed="81"/>
            <rFont val="Tahoma"/>
          </rPr>
          <t xml:space="preserve">Ref: Salix
</t>
        </r>
      </text>
    </comment>
    <comment ref="I35" authorId="2">
      <text>
        <r>
          <rPr>
            <b/>
            <sz val="8"/>
            <color indexed="81"/>
            <rFont val="Tahoma"/>
          </rPr>
          <t>Carbon Trust guide to awareness raising campaigns</t>
        </r>
      </text>
    </comment>
    <comment ref="J35" authorId="2">
      <text>
        <r>
          <rPr>
            <b/>
            <sz val="8"/>
            <color indexed="81"/>
            <rFont val="Tahoma"/>
          </rPr>
          <t>Carbon Trust guide to awareness raising campaigns</t>
        </r>
      </text>
    </comment>
    <comment ref="K35" authorId="2">
      <text>
        <r>
          <rPr>
            <b/>
            <sz val="8"/>
            <color indexed="81"/>
            <rFont val="Tahoma"/>
          </rPr>
          <t>£500/tonne CO2 is Salix average for all projects.  Used where better data is unavailable</t>
        </r>
      </text>
    </comment>
    <comment ref="J36" authorId="2">
      <text>
        <r>
          <rPr>
            <b/>
            <sz val="8"/>
            <color indexed="81"/>
            <rFont val="Tahoma"/>
          </rPr>
          <t>Mid range values from EPG312</t>
        </r>
      </text>
    </comment>
    <comment ref="K36" authorId="2">
      <text>
        <r>
          <rPr>
            <b/>
            <sz val="8"/>
            <color indexed="81"/>
            <rFont val="Tahoma"/>
          </rPr>
          <t xml:space="preserve">Ref: Salix
</t>
        </r>
      </text>
    </comment>
    <comment ref="I37" authorId="2">
      <text>
        <r>
          <rPr>
            <b/>
            <sz val="8"/>
            <color indexed="81"/>
            <rFont val="Tahoma"/>
          </rPr>
          <t>Mid range values from EPG312</t>
        </r>
      </text>
    </comment>
    <comment ref="K37" authorId="2">
      <text>
        <r>
          <rPr>
            <b/>
            <sz val="8"/>
            <color indexed="81"/>
            <rFont val="Tahoma"/>
          </rPr>
          <t>£500/tonne CO2 is Salix average for all projects.  Used where better data is unavailable</t>
        </r>
      </text>
    </comment>
    <comment ref="I38" authorId="2">
      <text>
        <r>
          <rPr>
            <b/>
            <sz val="8"/>
            <color indexed="81"/>
            <rFont val="Tahoma"/>
          </rPr>
          <t>Typical estimate</t>
        </r>
      </text>
    </comment>
    <comment ref="J38" authorId="2">
      <text>
        <r>
          <rPr>
            <b/>
            <sz val="8"/>
            <color indexed="81"/>
            <rFont val="Tahoma"/>
          </rPr>
          <t>Typical estimate</t>
        </r>
      </text>
    </comment>
    <comment ref="K38" authorId="2">
      <text>
        <r>
          <rPr>
            <b/>
            <sz val="8"/>
            <color indexed="81"/>
            <rFont val="Tahoma"/>
          </rPr>
          <t>£500/tonne CO2 is Salix average for all projects.  Used where better data is unavailable</t>
        </r>
      </text>
    </comment>
    <comment ref="J39" authorId="2">
      <text>
        <r>
          <rPr>
            <b/>
            <sz val="8"/>
            <color indexed="81"/>
            <rFont val="Tahoma"/>
          </rPr>
          <t>Mid range values from EPG312</t>
        </r>
      </text>
    </comment>
    <comment ref="K39" authorId="2">
      <text>
        <r>
          <rPr>
            <b/>
            <sz val="8"/>
            <color indexed="81"/>
            <rFont val="Tahoma"/>
          </rPr>
          <t>£500/tonne CO2 is Salix average for all projects.  Used where better data is unavailable</t>
        </r>
      </text>
    </comment>
    <comment ref="H40" authorId="0">
      <text>
        <r>
          <rPr>
            <sz val="8"/>
            <color indexed="81"/>
            <rFont val="Tahoma"/>
          </rPr>
          <t>Based on pool heating</t>
        </r>
      </text>
    </comment>
    <comment ref="I40" authorId="2">
      <text>
        <r>
          <rPr>
            <b/>
            <sz val="8"/>
            <color indexed="81"/>
            <rFont val="Tahoma"/>
          </rPr>
          <t>Mid range values from EPG312</t>
        </r>
      </text>
    </comment>
    <comment ref="K40" authorId="2">
      <text>
        <r>
          <rPr>
            <b/>
            <sz val="8"/>
            <color indexed="81"/>
            <rFont val="Tahoma"/>
          </rPr>
          <t>£500/tonne CO2 is Salix average for all projects.  Used where better data is unavailable</t>
        </r>
      </text>
    </comment>
    <comment ref="H41" authorId="2">
      <text>
        <r>
          <rPr>
            <b/>
            <sz val="8"/>
            <color indexed="81"/>
            <rFont val="Tahoma"/>
          </rPr>
          <t>Derived from ECG019</t>
        </r>
      </text>
    </comment>
    <comment ref="J41" authorId="2">
      <text>
        <r>
          <rPr>
            <b/>
            <sz val="8"/>
            <color indexed="81"/>
            <rFont val="Tahoma"/>
          </rPr>
          <t>Reference LACM Deck of Cards</t>
        </r>
      </text>
    </comment>
    <comment ref="K41" authorId="2">
      <text>
        <r>
          <rPr>
            <b/>
            <sz val="8"/>
            <color indexed="81"/>
            <rFont val="Tahoma"/>
          </rPr>
          <t>Previous projects</t>
        </r>
      </text>
    </comment>
    <comment ref="H42" authorId="2">
      <text>
        <r>
          <rPr>
            <b/>
            <sz val="8"/>
            <color indexed="81"/>
            <rFont val="Tahoma"/>
          </rPr>
          <t>Working Estimate</t>
        </r>
      </text>
    </comment>
    <comment ref="J42" authorId="2">
      <text>
        <r>
          <rPr>
            <b/>
            <sz val="8"/>
            <color indexed="81"/>
            <rFont val="Tahoma"/>
          </rPr>
          <t>Mid range values from EPG312</t>
        </r>
      </text>
    </comment>
    <comment ref="K42" authorId="2">
      <text>
        <r>
          <rPr>
            <b/>
            <sz val="8"/>
            <color indexed="81"/>
            <rFont val="Tahoma"/>
          </rPr>
          <t xml:space="preserve">Ref: Salix
</t>
        </r>
      </text>
    </comment>
    <comment ref="I43" authorId="1">
      <text>
        <r>
          <rPr>
            <b/>
            <sz val="8"/>
            <color indexed="81"/>
            <rFont val="Tahoma"/>
          </rPr>
          <t>from previous project</t>
        </r>
      </text>
    </comment>
    <comment ref="K43" authorId="1">
      <text>
        <r>
          <rPr>
            <sz val="8"/>
            <color indexed="81"/>
            <rFont val="Tahoma"/>
            <family val="2"/>
          </rPr>
          <t xml:space="preserve">from previous project
</t>
        </r>
      </text>
    </comment>
    <comment ref="I44" authorId="1">
      <text>
        <r>
          <rPr>
            <b/>
            <sz val="8"/>
            <color indexed="81"/>
            <rFont val="Tahoma"/>
          </rPr>
          <t>from previous project</t>
        </r>
      </text>
    </comment>
    <comment ref="K44" authorId="1">
      <text/>
    </comment>
    <comment ref="I45" authorId="1">
      <text>
        <r>
          <rPr>
            <b/>
            <sz val="8"/>
            <color indexed="81"/>
            <rFont val="Tahoma"/>
          </rPr>
          <t>from previous project</t>
        </r>
      </text>
    </comment>
    <comment ref="K45" authorId="1">
      <text>
        <r>
          <rPr>
            <sz val="8"/>
            <color indexed="81"/>
            <rFont val="Tahoma"/>
            <family val="2"/>
          </rPr>
          <t>from previous project</t>
        </r>
      </text>
    </comment>
    <comment ref="K46" authorId="2">
      <text>
        <r>
          <rPr>
            <b/>
            <sz val="8"/>
            <color indexed="81"/>
            <rFont val="Tahoma"/>
          </rPr>
          <t>£500/tonne CO2 is Salix average for all projects.  Used where better data is unavailable</t>
        </r>
      </text>
    </comment>
    <comment ref="K47" authorId="2">
      <text>
        <r>
          <rPr>
            <b/>
            <sz val="8"/>
            <color indexed="81"/>
            <rFont val="Tahoma"/>
          </rPr>
          <t>£500/tonne CO2 is Salix average for all projects.  Used where better data is unavailable</t>
        </r>
      </text>
    </comment>
    <comment ref="K48" authorId="2">
      <text>
        <r>
          <rPr>
            <b/>
            <sz val="8"/>
            <color indexed="81"/>
            <rFont val="Tahoma"/>
          </rPr>
          <t>£500/tonne CO2 is Salix average for all projects.  Used where better data is unavailable</t>
        </r>
      </text>
    </comment>
    <comment ref="K443" authorId="2">
      <text>
        <r>
          <rPr>
            <b/>
            <sz val="8"/>
            <color indexed="81"/>
            <rFont val="Tahoma"/>
          </rPr>
          <t>Working estimate from typical project</t>
        </r>
      </text>
    </comment>
    <comment ref="K445" authorId="2">
      <text>
        <r>
          <rPr>
            <b/>
            <sz val="8"/>
            <color indexed="81"/>
            <rFont val="Tahoma"/>
          </rPr>
          <t>Working estimate from typical project</t>
        </r>
      </text>
    </comment>
    <comment ref="K446" authorId="2">
      <text>
        <r>
          <rPr>
            <b/>
            <sz val="8"/>
            <color indexed="81"/>
            <rFont val="Tahoma"/>
          </rPr>
          <t>Working estimate from typical project</t>
        </r>
      </text>
    </comment>
    <comment ref="K447" authorId="2">
      <text>
        <r>
          <rPr>
            <b/>
            <sz val="8"/>
            <color indexed="81"/>
            <rFont val="Tahoma"/>
          </rPr>
          <t>Working estimate from typical project</t>
        </r>
      </text>
    </comment>
    <comment ref="M447" authorId="2">
      <text>
        <r>
          <rPr>
            <sz val="10"/>
            <color indexed="81"/>
            <rFont val="Tahoma"/>
            <family val="2"/>
          </rPr>
          <t>Based on replacing gas fired hot water heater</t>
        </r>
      </text>
    </comment>
  </commentList>
</comments>
</file>

<file path=xl/comments3.xml><?xml version="1.0" encoding="utf-8"?>
<comments xmlns="http://schemas.openxmlformats.org/spreadsheetml/2006/main">
  <authors>
    <author>je</author>
  </authors>
  <commentList>
    <comment ref="E1" authorId="0">
      <text>
        <r>
          <rPr>
            <b/>
            <sz val="8"/>
            <color indexed="81"/>
            <rFont val="Tahoma"/>
          </rPr>
          <t xml:space="preserve">
</t>
        </r>
      </text>
    </comment>
  </commentList>
</comments>
</file>

<file path=xl/comments4.xml><?xml version="1.0" encoding="utf-8"?>
<comments xmlns="http://schemas.openxmlformats.org/spreadsheetml/2006/main">
  <authors>
    <author>System Administrator</author>
    <author>Joanna Jackson</author>
  </authors>
  <commentList>
    <comment ref="F5" authorId="0">
      <text>
        <r>
          <rPr>
            <b/>
            <sz val="8"/>
            <color indexed="81"/>
            <rFont val="Tahoma"/>
          </rPr>
          <t>If text changes to RED year is before project start date</t>
        </r>
      </text>
    </comment>
    <comment ref="G5" authorId="0">
      <text>
        <r>
          <rPr>
            <b/>
            <sz val="8"/>
            <color indexed="81"/>
            <rFont val="Tahoma"/>
          </rPr>
          <t>To be completed once project is implemented</t>
        </r>
      </text>
    </comment>
    <comment ref="J5" authorId="0">
      <text>
        <r>
          <rPr>
            <sz val="8"/>
            <color indexed="81"/>
            <rFont val="Tahoma"/>
            <family val="2"/>
          </rPr>
          <t>Please enter the number of years the project will last, e.g. new boiler lasts approximately 15 years.  NPV calc works to a maximum of 25 years</t>
        </r>
      </text>
    </comment>
    <comment ref="L5" authorId="1">
      <text>
        <r>
          <rPr>
            <sz val="8"/>
            <color indexed="81"/>
            <rFont val="Tahoma"/>
          </rPr>
          <t xml:space="preserve">A conversion assistant is available for energy statistics in other units.  Follow hyperlink.
</t>
        </r>
      </text>
    </comment>
    <comment ref="N5" authorId="1">
      <text>
        <r>
          <rPr>
            <sz val="8"/>
            <color indexed="81"/>
            <rFont val="Tahoma"/>
          </rPr>
          <t xml:space="preserve">A conversion assistant is available for energy statistics in other units.  Follow hyperlink.
</t>
        </r>
      </text>
    </comment>
  </commentList>
</comments>
</file>

<file path=xl/comments5.xml><?xml version="1.0" encoding="utf-8"?>
<comments xmlns="http://schemas.openxmlformats.org/spreadsheetml/2006/main">
  <authors>
    <author>Charlotte Challis</author>
  </authors>
  <commentList>
    <comment ref="C63" authorId="0">
      <text>
        <r>
          <rPr>
            <b/>
            <sz val="8"/>
            <color indexed="81"/>
            <rFont val="Tahoma"/>
          </rPr>
          <t xml:space="preserve">Based on 38 mpg
</t>
        </r>
      </text>
    </comment>
    <comment ref="C64" authorId="0">
      <text>
        <r>
          <rPr>
            <b/>
            <sz val="8"/>
            <color indexed="81"/>
            <rFont val="Tahoma"/>
          </rPr>
          <t>based on 57mpg</t>
        </r>
      </text>
    </comment>
    <comment ref="C65" authorId="0">
      <text>
        <r>
          <rPr>
            <b/>
            <sz val="8"/>
            <color indexed="81"/>
            <rFont val="Tahoma"/>
          </rPr>
          <t xml:space="preserve">Derived from above
</t>
        </r>
      </text>
    </comment>
    <comment ref="C66" authorId="0">
      <text>
        <r>
          <rPr>
            <b/>
            <sz val="8"/>
            <color indexed="81"/>
            <rFont val="Tahoma"/>
          </rPr>
          <t xml:space="preserve">Derived from above
</t>
        </r>
      </text>
    </comment>
  </commentList>
</comments>
</file>

<file path=xl/sharedStrings.xml><?xml version="1.0" encoding="utf-8"?>
<sst xmlns="http://schemas.openxmlformats.org/spreadsheetml/2006/main" count="1175" uniqueCount="253">
  <si>
    <t>Produced by Carbon Insight</t>
  </si>
  <si>
    <t>Issue Log</t>
  </si>
  <si>
    <t>Buildings</t>
  </si>
  <si>
    <t>Totals</t>
  </si>
  <si>
    <t>Opportunities for carbon reduction</t>
  </si>
  <si>
    <t>Technology category</t>
  </si>
  <si>
    <t>Technology</t>
  </si>
  <si>
    <t>% applicable</t>
  </si>
  <si>
    <t>% opportunity</t>
  </si>
  <si>
    <t>% of utility</t>
  </si>
  <si>
    <t>% Gas saving</t>
  </si>
  <si>
    <t>% Elec saving</t>
  </si>
  <si>
    <t>Total gas saving (kWh)</t>
  </si>
  <si>
    <t>Total elec saving (KWh)</t>
  </si>
  <si>
    <t>Total carbon saving (tCO2)</t>
  </si>
  <si>
    <t>Air conditioning</t>
  </si>
  <si>
    <t>Free cooling</t>
  </si>
  <si>
    <t>Air conditioning server rooms</t>
  </si>
  <si>
    <t>Optimise control of cooling</t>
  </si>
  <si>
    <t>Building fabric</t>
  </si>
  <si>
    <t>Secondary glazing</t>
  </si>
  <si>
    <t>Loft insulation</t>
  </si>
  <si>
    <t>Cavity wall insulation</t>
  </si>
  <si>
    <t>Draught proofing</t>
  </si>
  <si>
    <t>BMS fine tuning</t>
  </si>
  <si>
    <t>BMS upgrades</t>
  </si>
  <si>
    <t>BMS</t>
  </si>
  <si>
    <t>Heating - replacement boilers</t>
  </si>
  <si>
    <t>Upgrade to condensing boilers</t>
  </si>
  <si>
    <t>Heating - controls</t>
  </si>
  <si>
    <t>Heating control systems</t>
  </si>
  <si>
    <t>Optimum start controls</t>
  </si>
  <si>
    <t>Sequencing</t>
  </si>
  <si>
    <t xml:space="preserve">Zoning </t>
  </si>
  <si>
    <t>Heating - pipework insulation</t>
  </si>
  <si>
    <t>Pipework insulation</t>
  </si>
  <si>
    <t>Lighting - controls</t>
  </si>
  <si>
    <t>Automatic lighting controls</t>
  </si>
  <si>
    <t>Localised lighting</t>
  </si>
  <si>
    <t>Lighting - replacement fittings</t>
  </si>
  <si>
    <t>Retrofit/replace lighting to T5</t>
  </si>
  <si>
    <t>Ventilation - Variable speed drives</t>
  </si>
  <si>
    <t>Variable speed drives</t>
  </si>
  <si>
    <t>Misc</t>
  </si>
  <si>
    <t>Equipment timer controls</t>
  </si>
  <si>
    <t>Voltage optimisation</t>
  </si>
  <si>
    <t>Awareness raising campaign</t>
  </si>
  <si>
    <t>ICT</t>
  </si>
  <si>
    <t xml:space="preserve">Virtualisation/thin computers </t>
  </si>
  <si>
    <t xml:space="preserve">Printer rationalisation </t>
  </si>
  <si>
    <t xml:space="preserve">LCD flat screens </t>
  </si>
  <si>
    <t xml:space="preserve">IT Management software </t>
  </si>
  <si>
    <t>Other technologies</t>
  </si>
  <si>
    <t>Swimming pool CHP</t>
  </si>
  <si>
    <t xml:space="preserve">Swimming pool heat recovery </t>
  </si>
  <si>
    <t>Pool covers</t>
  </si>
  <si>
    <t>Pool covers w/ vent fine tune</t>
  </si>
  <si>
    <t>Transport</t>
  </si>
  <si>
    <t>% savings</t>
  </si>
  <si>
    <t>Carbon saving opportunity</t>
  </si>
  <si>
    <t>Low carbon replacement vehicles</t>
  </si>
  <si>
    <t>Biodiesel replacement fuel</t>
  </si>
  <si>
    <t xml:space="preserve">Fuel management </t>
  </si>
  <si>
    <t>Driver training &amp; maintenance</t>
  </si>
  <si>
    <t>Opportunities for renewable energy</t>
  </si>
  <si>
    <t>Amount</t>
  </si>
  <si>
    <t>Photovoltaics</t>
  </si>
  <si>
    <t>Biomass</t>
  </si>
  <si>
    <t>see buildings sheet - fuel switching</t>
  </si>
  <si>
    <t>Small wind (6kW turbines)</t>
  </si>
  <si>
    <t>Potential number of turbines</t>
  </si>
  <si>
    <t>Large wind (2MW turbines)</t>
  </si>
  <si>
    <t>Solar hot water</t>
  </si>
  <si>
    <r>
      <t>Potential number of domestic equivalent systems (4m</t>
    </r>
    <r>
      <rPr>
        <vertAlign val="superscript"/>
        <sz val="10"/>
        <rFont val="Arial"/>
        <family val="2"/>
      </rPr>
      <t>2</t>
    </r>
    <r>
      <rPr>
        <sz val="10"/>
        <rFont val="Arial"/>
      </rPr>
      <t>)</t>
    </r>
  </si>
  <si>
    <t>Remaining emissions (tCO2/yr)</t>
  </si>
  <si>
    <t>Savings identified (tCO2/yr)</t>
  </si>
  <si>
    <t>zero for wedges</t>
  </si>
  <si>
    <t>% of total baseline</t>
  </si>
  <si>
    <t>Renewables</t>
  </si>
  <si>
    <t>N/A</t>
  </si>
  <si>
    <t>Emissions Source</t>
  </si>
  <si>
    <t>Electricity (grid)</t>
  </si>
  <si>
    <t>Natural gas</t>
  </si>
  <si>
    <t>Reference</t>
  </si>
  <si>
    <t>Defra GHG emission factors, July 2008</t>
  </si>
  <si>
    <t>Defra GHG emission factors, July 2009</t>
  </si>
  <si>
    <t>http://www.defra.gov.uk/environment/business/envrp/pdf/conversion-factors.pdf - Annex 6</t>
  </si>
  <si>
    <t>Average petrol car</t>
  </si>
  <si>
    <t>Average diesel car</t>
  </si>
  <si>
    <t>Petrol use</t>
  </si>
  <si>
    <t>Diesel use</t>
  </si>
  <si>
    <t>on buildings sheet</t>
  </si>
  <si>
    <t>ESD estimate using in house calculation tools</t>
  </si>
  <si>
    <t>References</t>
  </si>
  <si>
    <t>l/km</t>
  </si>
  <si>
    <t>Derived from above</t>
  </si>
  <si>
    <r>
      <t>Benchmark electricity demand (kWh/m</t>
    </r>
    <r>
      <rPr>
        <b/>
        <vertAlign val="superscript"/>
        <sz val="10"/>
        <rFont val="Arial"/>
        <family val="2"/>
      </rPr>
      <t>2</t>
    </r>
    <r>
      <rPr>
        <b/>
        <sz val="10"/>
        <rFont val="Arial"/>
        <family val="2"/>
      </rPr>
      <t>/yr)</t>
    </r>
  </si>
  <si>
    <r>
      <t>Benchmark fossil fuel demand (kWh/m</t>
    </r>
    <r>
      <rPr>
        <b/>
        <vertAlign val="superscript"/>
        <sz val="10"/>
        <rFont val="Arial"/>
        <family val="2"/>
      </rPr>
      <t>2</t>
    </r>
    <r>
      <rPr>
        <b/>
        <sz val="10"/>
        <rFont val="Arial"/>
        <family val="2"/>
      </rPr>
      <t>/yr)</t>
    </r>
  </si>
  <si>
    <r>
      <t>kgCO</t>
    </r>
    <r>
      <rPr>
        <b/>
        <vertAlign val="subscript"/>
        <sz val="10"/>
        <rFont val="Arial"/>
        <family val="2"/>
      </rPr>
      <t>2</t>
    </r>
    <r>
      <rPr>
        <b/>
        <sz val="10"/>
        <rFont val="Arial"/>
        <family val="2"/>
      </rPr>
      <t>/kWh</t>
    </r>
  </si>
  <si>
    <r>
      <t>kgCO</t>
    </r>
    <r>
      <rPr>
        <b/>
        <vertAlign val="subscript"/>
        <sz val="10"/>
        <rFont val="Arial"/>
        <family val="2"/>
      </rPr>
      <t>2</t>
    </r>
    <r>
      <rPr>
        <b/>
        <sz val="10"/>
        <rFont val="Arial"/>
        <family val="2"/>
      </rPr>
      <t>/litre</t>
    </r>
  </si>
  <si>
    <r>
      <t>kgCO</t>
    </r>
    <r>
      <rPr>
        <b/>
        <vertAlign val="subscript"/>
        <sz val="10"/>
        <rFont val="Arial"/>
        <family val="2"/>
      </rPr>
      <t>2</t>
    </r>
    <r>
      <rPr>
        <b/>
        <sz val="10"/>
        <rFont val="Arial"/>
        <family val="2"/>
      </rPr>
      <t>/km</t>
    </r>
  </si>
  <si>
    <r>
      <t>kgCO</t>
    </r>
    <r>
      <rPr>
        <vertAlign val="subscript"/>
        <sz val="10"/>
        <rFont val="Arial"/>
        <family val="2"/>
      </rPr>
      <t>2</t>
    </r>
    <r>
      <rPr>
        <sz val="10"/>
        <rFont val="Arial"/>
      </rPr>
      <t>/m</t>
    </r>
    <r>
      <rPr>
        <vertAlign val="superscript"/>
        <sz val="10"/>
        <rFont val="Arial"/>
        <family val="2"/>
      </rPr>
      <t>2</t>
    </r>
  </si>
  <si>
    <r>
      <t>kgCO</t>
    </r>
    <r>
      <rPr>
        <vertAlign val="subscript"/>
        <sz val="10"/>
        <rFont val="Arial"/>
        <family val="2"/>
      </rPr>
      <t>2</t>
    </r>
    <r>
      <rPr>
        <sz val="10"/>
        <rFont val="Arial"/>
      </rPr>
      <t>/turbine</t>
    </r>
  </si>
  <si>
    <r>
      <t>kgCO</t>
    </r>
    <r>
      <rPr>
        <vertAlign val="subscript"/>
        <sz val="10"/>
        <rFont val="Arial"/>
        <family val="2"/>
      </rPr>
      <t>2</t>
    </r>
    <r>
      <rPr>
        <sz val="10"/>
        <rFont val="Arial"/>
      </rPr>
      <t>/system</t>
    </r>
  </si>
  <si>
    <r>
      <t>Baseline emissions (tCO</t>
    </r>
    <r>
      <rPr>
        <b/>
        <vertAlign val="subscript"/>
        <sz val="10"/>
        <rFont val="Arial"/>
        <family val="2"/>
      </rPr>
      <t>2</t>
    </r>
    <r>
      <rPr>
        <b/>
        <sz val="10"/>
        <rFont val="Arial"/>
        <family val="2"/>
      </rPr>
      <t>/yr)</t>
    </r>
  </si>
  <si>
    <r>
      <t>Floor area (m</t>
    </r>
    <r>
      <rPr>
        <b/>
        <vertAlign val="superscript"/>
        <sz val="10"/>
        <rFont val="Arial"/>
        <family val="2"/>
      </rPr>
      <t>2</t>
    </r>
    <r>
      <rPr>
        <b/>
        <sz val="10"/>
        <rFont val="Arial"/>
        <family val="2"/>
      </rPr>
      <t>)</t>
    </r>
  </si>
  <si>
    <t>Renewable energy</t>
  </si>
  <si>
    <t xml:space="preserve">KEY: </t>
  </si>
  <si>
    <t>Capital cost</t>
  </si>
  <si>
    <r>
      <t>£/tonne CO</t>
    </r>
    <r>
      <rPr>
        <b/>
        <vertAlign val="subscript"/>
        <sz val="10"/>
        <rFont val="Arial"/>
        <family val="2"/>
      </rPr>
      <t>2</t>
    </r>
  </si>
  <si>
    <t>Select for export (Y/N)</t>
  </si>
  <si>
    <t>Annual cost saving</t>
  </si>
  <si>
    <t>Annual gas saving (kWh)</t>
  </si>
  <si>
    <t>Annual elec saving (KWh)</t>
  </si>
  <si>
    <r>
      <t>Annual carbon saving (tCO</t>
    </r>
    <r>
      <rPr>
        <b/>
        <vertAlign val="subscript"/>
        <sz val="10"/>
        <rFont val="Arial"/>
        <family val="2"/>
      </rPr>
      <t>2</t>
    </r>
    <r>
      <rPr>
        <b/>
        <sz val="10"/>
        <rFont val="Arial"/>
        <family val="2"/>
      </rPr>
      <t>)</t>
    </r>
  </si>
  <si>
    <t>Current energy costs</t>
  </si>
  <si>
    <t>Electricity</t>
  </si>
  <si>
    <t>Gas</t>
  </si>
  <si>
    <t>Petrol</t>
  </si>
  <si>
    <t>Diesel</t>
  </si>
  <si>
    <t>p/kWh</t>
  </si>
  <si>
    <t>p/litre</t>
  </si>
  <si>
    <t>Fuel switching to biofuel</t>
  </si>
  <si>
    <t>Pick from list</t>
  </si>
  <si>
    <t>YES</t>
  </si>
  <si>
    <t>NO</t>
  </si>
  <si>
    <t>Yellow cells are automatically calculated but can be overwritten with actual data</t>
  </si>
  <si>
    <t>Light blue cells are for data input</t>
  </si>
  <si>
    <t>Back to top</t>
  </si>
  <si>
    <t>p/km</t>
  </si>
  <si>
    <t>Annual fuel bill (£/yr)</t>
  </si>
  <si>
    <t>Annual energy bill (£/yr)</t>
  </si>
  <si>
    <t>Project Ref. Number</t>
  </si>
  <si>
    <t>Opportunity/project</t>
  </si>
  <si>
    <t>Project start year</t>
  </si>
  <si>
    <t>Predicted year of first energy savings</t>
  </si>
  <si>
    <t>ACTUAL year of first energy savings</t>
  </si>
  <si>
    <t>Capital Costs (£)</t>
  </si>
  <si>
    <t>£ Operating Cost in yr 1</t>
  </si>
  <si>
    <t>Lifetime of project from start year (years)</t>
  </si>
  <si>
    <t>Emissions Source 1</t>
  </si>
  <si>
    <t>Amount saved emissions source 1</t>
  </si>
  <si>
    <t>Emissions Source 2</t>
  </si>
  <si>
    <t>Amount saved Emissions Source 2</t>
  </si>
  <si>
    <t>Ref</t>
  </si>
  <si>
    <t>Graphs and analysis</t>
  </si>
  <si>
    <t>Selected opportunities</t>
  </si>
  <si>
    <t>Select for follow up (Y/N)</t>
  </si>
  <si>
    <t xml:space="preserve">If you selected "YES" under 'Select for follow up' on the Opportunities tab, the project should be listed below.  </t>
  </si>
  <si>
    <t>Column #</t>
  </si>
  <si>
    <t>Simple payback (years)</t>
  </si>
  <si>
    <t>Area</t>
  </si>
  <si>
    <t>Opportunity summary</t>
  </si>
  <si>
    <t>Emissions source 1</t>
  </si>
  <si>
    <t>Emissions source 2</t>
  </si>
  <si>
    <t>Amount saved emissions source 1 (kWh)</t>
  </si>
  <si>
    <t>Amount saved emissions source 2 (kWh)</t>
  </si>
  <si>
    <t>kWh/litre</t>
  </si>
  <si>
    <t>Effective travel plans</t>
  </si>
  <si>
    <t>Export to CMPR</t>
  </si>
  <si>
    <t>Ease and effect score 
(1-9)</t>
  </si>
  <si>
    <t>EASE</t>
  </si>
  <si>
    <t>EFFECT</t>
  </si>
  <si>
    <t>Ease and effect matrix</t>
  </si>
  <si>
    <t>Total opportunities</t>
  </si>
  <si>
    <r>
      <t>Potential area of panels (m</t>
    </r>
    <r>
      <rPr>
        <vertAlign val="superscript"/>
        <sz val="10"/>
        <rFont val="Arial"/>
        <family val="2"/>
      </rPr>
      <t>2</t>
    </r>
    <r>
      <rPr>
        <sz val="10"/>
        <rFont val="Arial"/>
        <family val="2"/>
      </rPr>
      <t>)</t>
    </r>
  </si>
  <si>
    <t>Totals row</t>
  </si>
  <si>
    <t>Metric used</t>
  </si>
  <si>
    <t>Maximum potential if all projects were implemented</t>
  </si>
  <si>
    <t>Potential savings from selected projects</t>
  </si>
  <si>
    <t>Category</t>
  </si>
  <si>
    <t>Total Fossil
kWh</t>
  </si>
  <si>
    <t>Total Elec 
kWh</t>
  </si>
  <si>
    <t>Fossil fuel demand (kWh/yr)</t>
  </si>
  <si>
    <t>Electricity demand (kWh/yr)</t>
  </si>
  <si>
    <t>These projects are estimated to produce a total carbon saving of</t>
  </si>
  <si>
    <t>The capital cost of these projects is estimated at</t>
  </si>
  <si>
    <t>With an average payback period of</t>
  </si>
  <si>
    <t>years</t>
  </si>
  <si>
    <t>This is equivalent to</t>
  </si>
  <si>
    <r>
      <t>tonnes of CO</t>
    </r>
    <r>
      <rPr>
        <b/>
        <vertAlign val="subscript"/>
        <sz val="10"/>
        <color indexed="10"/>
        <rFont val="Arial"/>
        <family val="2"/>
      </rPr>
      <t>2</t>
    </r>
  </si>
  <si>
    <t>Demand not considered</t>
  </si>
  <si>
    <t xml:space="preserve">Demand not considered </t>
  </si>
  <si>
    <t>of the estimated baseline</t>
  </si>
  <si>
    <t xml:space="preserve"> </t>
  </si>
  <si>
    <t>Effect</t>
  </si>
  <si>
    <t>Bback to selection</t>
  </si>
  <si>
    <t>Table 1 Buildings</t>
  </si>
  <si>
    <t xml:space="preserve">Import from Baseline tool </t>
  </si>
  <si>
    <t>Buildings Category 1</t>
  </si>
  <si>
    <t>Buildings Category 2</t>
  </si>
  <si>
    <t>Buildings Category 3</t>
  </si>
  <si>
    <t>Buildings Category 4</t>
  </si>
  <si>
    <t>Buildings Category 5</t>
  </si>
  <si>
    <t>Buildings Category 6</t>
  </si>
  <si>
    <t>Buildings Category 7</t>
  </si>
  <si>
    <t>Transport Category 1</t>
  </si>
  <si>
    <t>Transport Category 2</t>
  </si>
  <si>
    <t>Transport Category 3</t>
  </si>
  <si>
    <t>Transport Category 4</t>
  </si>
  <si>
    <t>Transport Category 5</t>
  </si>
  <si>
    <t>Transport Category 6</t>
  </si>
  <si>
    <t>Transport Category 7</t>
  </si>
  <si>
    <t>Not Accounted for</t>
  </si>
  <si>
    <t>Air</t>
  </si>
  <si>
    <t>Building Type</t>
  </si>
  <si>
    <t>p/kgCO2</t>
  </si>
  <si>
    <t>Table 2 Buildings</t>
  </si>
  <si>
    <r>
      <t>Table 3 Transport kg CO</t>
    </r>
    <r>
      <rPr>
        <b/>
        <vertAlign val="subscript"/>
        <sz val="12"/>
        <rFont val="Arial"/>
        <family val="2"/>
      </rPr>
      <t>2</t>
    </r>
  </si>
  <si>
    <t>Total Accounted for</t>
  </si>
  <si>
    <t>Aviation</t>
  </si>
  <si>
    <t>Defra GHG emission factors, July 2008 (Aviation Turbine fuel)</t>
  </si>
  <si>
    <t>Calculated from below</t>
  </si>
  <si>
    <t>Total Petrol Saving
(kWh/yr)</t>
  </si>
  <si>
    <t>Total Diesel Saving
(kWh/yr)</t>
  </si>
  <si>
    <t>Total Air Saving
(kWh/yr)</t>
  </si>
  <si>
    <t>p/kwh</t>
  </si>
  <si>
    <t>Total</t>
  </si>
  <si>
    <t xml:space="preserve">Based on Generic Version 1.2 </t>
  </si>
  <si>
    <t>Generic Version Based on LACM Version 2.2</t>
  </si>
  <si>
    <t>Steam Plant</t>
  </si>
  <si>
    <t>Boiler TDS blowdown controls &amp; boiler RO plant</t>
  </si>
  <si>
    <t>Install boiler economizers</t>
  </si>
  <si>
    <t>Steam trap management</t>
  </si>
  <si>
    <r>
      <t>HE</t>
    </r>
    <r>
      <rPr>
        <b/>
        <sz val="16"/>
        <color indexed="8"/>
        <rFont val="Arial"/>
        <family val="2"/>
      </rPr>
      <t xml:space="preserve"> Carbon Management - Rapid assessment of potential (RAP)</t>
    </r>
  </si>
  <si>
    <t>Name of Higher Education Organisation</t>
  </si>
  <si>
    <t>HE CM RAP tool V1.0</t>
  </si>
  <si>
    <t>Catering, fast food</t>
  </si>
  <si>
    <t>Halls of residence</t>
  </si>
  <si>
    <t>Lecture room, arts</t>
  </si>
  <si>
    <t>Lecture room, science</t>
  </si>
  <si>
    <t>Library, air conditioned</t>
  </si>
  <si>
    <t>Library, naturally ventilated</t>
  </si>
  <si>
    <t>Residential self catering</t>
  </si>
  <si>
    <t>Science laboratory</t>
  </si>
  <si>
    <t>CIBSE Guide F</t>
  </si>
  <si>
    <t>% utility estimates are derived from CTV020 Further and Higher Education Sector Overview</t>
  </si>
  <si>
    <t>Catering, bar/restaurant</t>
  </si>
  <si>
    <t>halls</t>
  </si>
  <si>
    <t>business Air</t>
  </si>
  <si>
    <t>Web Conference</t>
  </si>
  <si>
    <t>V1.1 modification of benchmark referencing to allow for inserting of new benchmarks</t>
  </si>
  <si>
    <t>Office - AirCon Prestige type4</t>
  </si>
  <si>
    <t>Office - AirCon Standard type3</t>
  </si>
  <si>
    <t>Office - No AirCon Cellular type1</t>
  </si>
  <si>
    <t>Office - No AirCon OpenPlan type2</t>
  </si>
  <si>
    <t>Leisure Centre (Dry)</t>
  </si>
  <si>
    <t>Leisure Centre (Lrg Pool)</t>
  </si>
  <si>
    <t>Leisure Centre (Sml Pool)</t>
  </si>
  <si>
    <t>ECG087</t>
  </si>
  <si>
    <t>General Uni Campus Building</t>
  </si>
  <si>
    <t>CIBSE TM46 and DEC benhcmark set</t>
  </si>
  <si>
    <t>ECG019</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</si>
</sst>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5" formatCode="_-* #,##0.0_-;\-* #,##0.0_-;_-* &quot;-&quot;??_-;_-@_-"/>
    <numFmt numFmtId="166" formatCode="_-* #,##0_-;\-* #,##0_-;_-* &quot;-&quot;??_-;_-@_-"/>
    <numFmt numFmtId="167" formatCode="&quot;£&quot;#,##0"/>
    <numFmt numFmtId="168" formatCode="0.000"/>
    <numFmt numFmtId="169" formatCode="0.0"/>
    <numFmt numFmtId="181" formatCode="_-&quot;£&quot;* #,##0_-;\-&quot;£&quot;* #,##0_-;_-&quot;£&quot;* &quot;-&quot;??_-;_-@_-"/>
  </numFmts>
  <fonts count="37">
    <font>
      <sz val="10"/>
      <name val="Arial"/>
    </font>
    <font>
      <sz val="10"/>
      <name val="Arial"/>
    </font>
    <font>
      <sz val="10"/>
      <color indexed="8"/>
      <name val="Arial"/>
    </font>
    <font>
      <u/>
      <sz val="10"/>
      <color indexed="12"/>
      <name val="Arial"/>
    </font>
    <font>
      <sz val="10"/>
      <color indexed="9"/>
      <name val="Arial"/>
    </font>
    <font>
      <sz val="8"/>
      <name val="Arial"/>
    </font>
    <font>
      <b/>
      <sz val="16"/>
      <color indexed="8"/>
      <name val="Arial"/>
      <family val="2"/>
    </font>
    <font>
      <b/>
      <sz val="10"/>
      <name val="Arial"/>
      <family val="2"/>
    </font>
    <font>
      <b/>
      <u/>
      <sz val="10"/>
      <name val="Arial"/>
      <family val="2"/>
    </font>
    <font>
      <b/>
      <u/>
      <sz val="14"/>
      <color indexed="8"/>
      <name val="Arial"/>
      <family val="2"/>
    </font>
    <font>
      <b/>
      <sz val="14"/>
      <color indexed="8"/>
      <name val="Arial"/>
      <family val="2"/>
    </font>
    <font>
      <b/>
      <sz val="10"/>
      <color indexed="8"/>
      <name val="Arial"/>
      <family val="2"/>
    </font>
    <font>
      <b/>
      <sz val="8"/>
      <color indexed="81"/>
      <name val="Tahoma"/>
    </font>
    <font>
      <sz val="8"/>
      <color indexed="81"/>
      <name val="Tahoma"/>
    </font>
    <font>
      <sz val="8"/>
      <color indexed="81"/>
      <name val="Tahoma"/>
      <family val="2"/>
    </font>
    <font>
      <b/>
      <u/>
      <sz val="16"/>
      <color indexed="8"/>
      <name val="Arial"/>
      <family val="2"/>
    </font>
    <font>
      <vertAlign val="superscript"/>
      <sz val="10"/>
      <name val="Arial"/>
      <family val="2"/>
    </font>
    <font>
      <sz val="10"/>
      <color indexed="81"/>
      <name val="Tahoma"/>
      <family val="2"/>
    </font>
    <font>
      <sz val="10"/>
      <name val="Arial"/>
      <family val="2"/>
    </font>
    <font>
      <b/>
      <vertAlign val="superscript"/>
      <sz val="10"/>
      <name val="Arial"/>
      <family val="2"/>
    </font>
    <font>
      <b/>
      <vertAlign val="subscript"/>
      <sz val="10"/>
      <name val="Arial"/>
      <family val="2"/>
    </font>
    <font>
      <b/>
      <sz val="10"/>
      <name val="Arial"/>
    </font>
    <font>
      <vertAlign val="subscript"/>
      <sz val="10"/>
      <name val="Arial"/>
      <family val="2"/>
    </font>
    <font>
      <b/>
      <u/>
      <sz val="12"/>
      <color indexed="8"/>
      <name val="Arial"/>
      <family val="2"/>
    </font>
    <font>
      <sz val="12"/>
      <name val="Arial"/>
      <family val="2"/>
    </font>
    <font>
      <sz val="36"/>
      <name val="Arial"/>
    </font>
    <font>
      <sz val="48"/>
      <name val="Arial"/>
    </font>
    <font>
      <b/>
      <sz val="14"/>
      <name val="Arial"/>
      <family val="2"/>
    </font>
    <font>
      <sz val="18"/>
      <name val="Arial"/>
      <family val="2"/>
    </font>
    <font>
      <b/>
      <sz val="12"/>
      <name val="Arial"/>
      <family val="2"/>
    </font>
    <font>
      <b/>
      <sz val="10"/>
      <color indexed="10"/>
      <name val="Arial"/>
      <family val="2"/>
    </font>
    <font>
      <b/>
      <vertAlign val="subscript"/>
      <sz val="10"/>
      <color indexed="10"/>
      <name val="Arial"/>
      <family val="2"/>
    </font>
    <font>
      <sz val="14"/>
      <name val="Arial"/>
    </font>
    <font>
      <b/>
      <vertAlign val="subscript"/>
      <sz val="12"/>
      <name val="Arial"/>
      <family val="2"/>
    </font>
    <font>
      <b/>
      <sz val="12"/>
      <color indexed="8"/>
      <name val="Arial"/>
      <family val="2"/>
    </font>
    <font>
      <b/>
      <sz val="16"/>
      <name val="Arial"/>
      <family val="2"/>
    </font>
    <font>
      <sz val="10"/>
      <name val="Trebuchet MS"/>
      <family val="2"/>
    </font>
  </fonts>
  <fills count="10">
    <fill>
      <patternFill patternType="none"/>
    </fill>
    <fill>
      <patternFill patternType="gray125"/>
    </fill>
    <fill>
      <patternFill patternType="solid">
        <fgColor indexed="59"/>
        <bgColor indexed="64"/>
      </patternFill>
    </fill>
    <fill>
      <patternFill patternType="solid">
        <fgColor indexed="60"/>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s>
  <borders count="50">
    <border>
      <left/>
      <right/>
      <top/>
      <bottom/>
      <diagonal/>
    </border>
    <border>
      <left style="thin">
        <color indexed="24"/>
      </left>
      <right style="thin">
        <color indexed="24"/>
      </right>
      <top style="thin">
        <color indexed="24"/>
      </top>
      <bottom style="thin">
        <color indexed="2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right/>
      <top style="thin">
        <color indexed="9"/>
      </top>
      <bottom style="thin">
        <color indexed="9"/>
      </bottom>
      <diagonal/>
    </border>
    <border>
      <left style="thin">
        <color indexed="9"/>
      </left>
      <right/>
      <top style="thin">
        <color indexed="9"/>
      </top>
      <bottom/>
      <diagonal/>
    </border>
    <border>
      <left style="thin">
        <color indexed="9"/>
      </left>
      <right style="thin">
        <color indexed="9"/>
      </right>
      <top/>
      <bottom/>
      <diagonal/>
    </border>
    <border>
      <left style="medium">
        <color indexed="64"/>
      </left>
      <right style="thin">
        <color indexed="9"/>
      </right>
      <top style="medium">
        <color indexed="64"/>
      </top>
      <bottom style="thin">
        <color indexed="9"/>
      </bottom>
      <diagonal/>
    </border>
    <border>
      <left style="thin">
        <color indexed="9"/>
      </left>
      <right style="thin">
        <color indexed="9"/>
      </right>
      <top style="medium">
        <color indexed="64"/>
      </top>
      <bottom style="thin">
        <color indexed="9"/>
      </bottom>
      <diagonal/>
    </border>
    <border>
      <left style="thin">
        <color indexed="9"/>
      </left>
      <right style="medium">
        <color indexed="64"/>
      </right>
      <top style="medium">
        <color indexed="64"/>
      </top>
      <bottom style="thin">
        <color indexed="9"/>
      </bottom>
      <diagonal/>
    </border>
    <border>
      <left style="medium">
        <color indexed="64"/>
      </left>
      <right style="thin">
        <color indexed="9"/>
      </right>
      <top style="thin">
        <color indexed="9"/>
      </top>
      <bottom style="thin">
        <color indexed="9"/>
      </bottom>
      <diagonal/>
    </border>
    <border>
      <left style="thin">
        <color indexed="9"/>
      </left>
      <right style="medium">
        <color indexed="64"/>
      </right>
      <top style="thin">
        <color indexed="9"/>
      </top>
      <bottom style="thin">
        <color indexed="9"/>
      </bottom>
      <diagonal/>
    </border>
    <border>
      <left/>
      <right style="medium">
        <color indexed="64"/>
      </right>
      <top style="thin">
        <color indexed="9"/>
      </top>
      <bottom style="thin">
        <color indexed="9"/>
      </bottom>
      <diagonal/>
    </border>
    <border>
      <left style="medium">
        <color indexed="64"/>
      </left>
      <right/>
      <top style="thin">
        <color indexed="9"/>
      </top>
      <bottom style="thin">
        <color indexed="9"/>
      </bottom>
      <diagonal/>
    </border>
    <border>
      <left style="medium">
        <color indexed="64"/>
      </left>
      <right style="thin">
        <color indexed="9"/>
      </right>
      <top style="thin">
        <color indexed="9"/>
      </top>
      <bottom style="medium">
        <color indexed="64"/>
      </bottom>
      <diagonal/>
    </border>
    <border>
      <left style="thin">
        <color indexed="9"/>
      </left>
      <right style="thin">
        <color indexed="9"/>
      </right>
      <top/>
      <bottom style="medium">
        <color indexed="64"/>
      </bottom>
      <diagonal/>
    </border>
    <border>
      <left style="thin">
        <color indexed="9"/>
      </left>
      <right style="medium">
        <color indexed="64"/>
      </right>
      <top style="thin">
        <color indexed="9"/>
      </top>
      <bottom style="medium">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medium">
        <color indexed="64"/>
      </left>
      <right/>
      <top style="thin">
        <color indexed="9"/>
      </top>
      <bottom/>
      <diagonal/>
    </border>
    <border>
      <left/>
      <right style="medium">
        <color indexed="64"/>
      </right>
      <top style="thin">
        <color indexed="9"/>
      </top>
      <bottom/>
      <diagonal/>
    </border>
    <border>
      <left/>
      <right style="medium">
        <color indexed="64"/>
      </right>
      <top style="thin">
        <color indexed="9"/>
      </top>
      <bottom style="medium">
        <color indexed="64"/>
      </bottom>
      <diagonal/>
    </border>
    <border>
      <left style="thin">
        <color indexed="9"/>
      </left>
      <right/>
      <top style="thin">
        <color indexed="64"/>
      </top>
      <bottom style="medium">
        <color indexed="64"/>
      </bottom>
      <diagonal/>
    </border>
    <border>
      <left/>
      <right/>
      <top/>
      <bottom style="medium">
        <color indexed="64"/>
      </bottom>
      <diagonal/>
    </border>
    <border>
      <left/>
      <right/>
      <top style="medium">
        <color indexed="64"/>
      </top>
      <bottom style="thin">
        <color indexed="9"/>
      </bottom>
      <diagonal/>
    </border>
    <border>
      <left/>
      <right style="medium">
        <color indexed="64"/>
      </right>
      <top style="medium">
        <color indexed="64"/>
      </top>
      <bottom style="thin">
        <color indexed="9"/>
      </bottom>
      <diagonal/>
    </border>
    <border>
      <left/>
      <right/>
      <top style="thin">
        <color indexed="64"/>
      </top>
      <bottom/>
      <diagonal/>
    </border>
    <border>
      <left style="medium">
        <color indexed="64"/>
      </left>
      <right style="thin">
        <color indexed="9"/>
      </right>
      <top style="thin">
        <color indexed="9"/>
      </top>
      <bottom/>
      <diagonal/>
    </border>
    <border>
      <left style="thin">
        <color indexed="9"/>
      </left>
      <right style="medium">
        <color indexed="64"/>
      </right>
      <top style="thin">
        <color indexed="9"/>
      </top>
      <bottom/>
      <diagonal/>
    </border>
    <border>
      <left style="medium">
        <color indexed="64"/>
      </left>
      <right/>
      <top/>
      <bottom/>
      <diagonal/>
    </border>
    <border>
      <left/>
      <right style="medium">
        <color indexed="64"/>
      </right>
      <top/>
      <bottom/>
      <diagonal/>
    </border>
    <border>
      <left style="medium">
        <color indexed="64"/>
      </left>
      <right style="thin">
        <color indexed="9"/>
      </right>
      <top/>
      <bottom style="thin">
        <color indexed="9"/>
      </bottom>
      <diagonal/>
    </border>
    <border>
      <left style="thin">
        <color indexed="9"/>
      </left>
      <right style="medium">
        <color indexed="64"/>
      </right>
      <top/>
      <bottom style="thin">
        <color indexed="9"/>
      </bottom>
      <diagonal/>
    </border>
    <border>
      <left style="thin">
        <color indexed="9"/>
      </left>
      <right style="thin">
        <color indexed="9"/>
      </right>
      <top style="thin">
        <color indexed="9"/>
      </top>
      <bottom style="medium">
        <color indexed="64"/>
      </bottom>
      <diagonal/>
    </border>
    <border>
      <left style="thin">
        <color indexed="64"/>
      </left>
      <right style="thin">
        <color indexed="64"/>
      </right>
      <top/>
      <bottom/>
      <diagonal/>
    </border>
    <border>
      <left/>
      <right style="thin">
        <color indexed="9"/>
      </right>
      <top style="thin">
        <color indexed="9"/>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right/>
      <top style="thin">
        <color indexed="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1"/>
    <xf numFmtId="0" fontId="3" fillId="0" borderId="0" applyNumberFormat="0" applyFill="0" applyBorder="0" applyAlignment="0" applyProtection="0">
      <alignment vertical="top"/>
      <protection locked="0"/>
    </xf>
    <xf numFmtId="0" fontId="4" fillId="3" borderId="1"/>
    <xf numFmtId="9" fontId="1" fillId="0" borderId="0" applyFont="0" applyFill="0" applyBorder="0" applyAlignment="0" applyProtection="0"/>
    <xf numFmtId="0" fontId="4" fillId="3" borderId="1"/>
  </cellStyleXfs>
  <cellXfs count="277">
    <xf numFmtId="0" fontId="0" fillId="0" borderId="0" xfId="0"/>
    <xf numFmtId="0" fontId="7" fillId="0" borderId="2" xfId="0" applyFont="1" applyFill="1" applyBorder="1" applyAlignment="1" applyProtection="1">
      <alignment horizontal="center" vertical="top" wrapText="1"/>
    </xf>
    <xf numFmtId="0" fontId="7" fillId="0" borderId="2" xfId="0" applyFont="1" applyFill="1" applyBorder="1" applyAlignment="1" applyProtection="1">
      <alignment vertical="top" wrapText="1"/>
    </xf>
    <xf numFmtId="166" fontId="18" fillId="4" borderId="2" xfId="1" applyNumberFormat="1" applyFont="1" applyFill="1" applyBorder="1" applyProtection="1">
      <protection locked="0"/>
    </xf>
    <xf numFmtId="166" fontId="0" fillId="5" borderId="2" xfId="1" applyNumberFormat="1" applyFont="1" applyFill="1" applyBorder="1" applyAlignment="1" applyProtection="1"/>
    <xf numFmtId="0" fontId="18" fillId="0" borderId="2" xfId="0" applyFont="1" applyFill="1" applyBorder="1" applyAlignment="1" applyProtection="1">
      <alignment vertical="top" wrapText="1"/>
    </xf>
    <xf numFmtId="9" fontId="18" fillId="0" borderId="2" xfId="6" applyFont="1" applyFill="1" applyBorder="1" applyAlignment="1" applyProtection="1">
      <alignment vertical="top" wrapText="1"/>
    </xf>
    <xf numFmtId="166" fontId="18" fillId="0" borderId="2" xfId="1" applyNumberFormat="1" applyFont="1" applyFill="1" applyBorder="1" applyAlignment="1" applyProtection="1">
      <alignment vertical="top" wrapText="1"/>
    </xf>
    <xf numFmtId="9" fontId="18" fillId="0" borderId="2" xfId="6" applyFont="1" applyFill="1" applyBorder="1" applyAlignment="1" applyProtection="1">
      <alignment horizontal="center" vertical="top" wrapText="1"/>
    </xf>
    <xf numFmtId="166" fontId="7" fillId="0" borderId="2" xfId="1" applyNumberFormat="1" applyFont="1" applyFill="1" applyBorder="1" applyAlignment="1" applyProtection="1">
      <alignment vertical="top" wrapText="1"/>
    </xf>
    <xf numFmtId="0" fontId="7" fillId="0" borderId="2" xfId="0" applyFont="1" applyFill="1" applyBorder="1" applyAlignment="1" applyProtection="1">
      <alignment horizontal="center" vertical="center" wrapText="1"/>
    </xf>
    <xf numFmtId="9" fontId="7" fillId="0" borderId="2" xfId="6" applyFont="1" applyFill="1" applyBorder="1" applyAlignment="1" applyProtection="1">
      <alignment vertical="top" wrapText="1"/>
    </xf>
    <xf numFmtId="0" fontId="6" fillId="0" borderId="3" xfId="0" applyFont="1" applyBorder="1"/>
    <xf numFmtId="0" fontId="0" fillId="0" borderId="3" xfId="0" applyBorder="1"/>
    <xf numFmtId="14" fontId="0" fillId="0" borderId="3" xfId="0" applyNumberFormat="1" applyBorder="1"/>
    <xf numFmtId="0" fontId="7" fillId="0" borderId="3" xfId="0" applyFont="1" applyBorder="1"/>
    <xf numFmtId="0" fontId="0" fillId="0" borderId="3" xfId="0" applyBorder="1" applyAlignment="1">
      <alignment wrapText="1"/>
    </xf>
    <xf numFmtId="0" fontId="7" fillId="0" borderId="3" xfId="0" applyFont="1" applyFill="1" applyBorder="1" applyAlignment="1" applyProtection="1">
      <alignment vertical="top" wrapText="1"/>
    </xf>
    <xf numFmtId="0" fontId="0" fillId="0" borderId="3" xfId="0" applyBorder="1" applyAlignment="1">
      <alignment horizontal="right"/>
    </xf>
    <xf numFmtId="0" fontId="0" fillId="0" borderId="4" xfId="0" applyBorder="1" applyAlignment="1">
      <alignment wrapText="1"/>
    </xf>
    <xf numFmtId="0" fontId="0" fillId="0" borderId="4" xfId="0" applyBorder="1"/>
    <xf numFmtId="0" fontId="0" fillId="0" borderId="5" xfId="0" applyBorder="1"/>
    <xf numFmtId="0" fontId="0" fillId="0" borderId="6" xfId="0" applyBorder="1"/>
    <xf numFmtId="0" fontId="0" fillId="0" borderId="7" xfId="0" applyBorder="1"/>
    <xf numFmtId="0" fontId="7" fillId="0" borderId="5" xfId="0" applyFont="1" applyBorder="1"/>
    <xf numFmtId="0" fontId="0" fillId="0" borderId="8" xfId="0" applyBorder="1"/>
    <xf numFmtId="0" fontId="8" fillId="0" borderId="6" xfId="0" applyFont="1" applyBorder="1"/>
    <xf numFmtId="0" fontId="23" fillId="0" borderId="3" xfId="0" applyFont="1" applyBorder="1"/>
    <xf numFmtId="0" fontId="0" fillId="0" borderId="2" xfId="0" applyBorder="1"/>
    <xf numFmtId="181" fontId="18" fillId="0" borderId="2" xfId="2" applyNumberFormat="1" applyFont="1" applyFill="1" applyBorder="1" applyAlignment="1" applyProtection="1">
      <alignment horizontal="center" vertical="top" wrapText="1"/>
    </xf>
    <xf numFmtId="181" fontId="0" fillId="5" borderId="2" xfId="2" applyNumberFormat="1" applyFont="1" applyFill="1" applyBorder="1" applyAlignment="1" applyProtection="1"/>
    <xf numFmtId="181" fontId="7" fillId="0" borderId="2" xfId="2" applyNumberFormat="1" applyFont="1" applyFill="1" applyBorder="1" applyAlignment="1" applyProtection="1">
      <alignment vertical="top" wrapText="1"/>
    </xf>
    <xf numFmtId="0" fontId="0" fillId="4" borderId="2" xfId="0" applyFill="1" applyBorder="1" applyAlignment="1">
      <alignment horizontal="center"/>
    </xf>
    <xf numFmtId="168" fontId="18" fillId="5" borderId="2" xfId="0" applyNumberFormat="1" applyFont="1" applyFill="1" applyBorder="1" applyAlignment="1">
      <alignment horizontal="center"/>
    </xf>
    <xf numFmtId="181" fontId="7" fillId="0" borderId="2" xfId="2" applyNumberFormat="1" applyFont="1" applyFill="1" applyBorder="1" applyAlignment="1" applyProtection="1">
      <alignment horizontal="center" vertical="top" wrapText="1"/>
    </xf>
    <xf numFmtId="169" fontId="0" fillId="5" borderId="2" xfId="0" applyNumberFormat="1" applyFill="1" applyBorder="1" applyAlignment="1">
      <alignment horizontal="center"/>
    </xf>
    <xf numFmtId="10" fontId="0" fillId="5" borderId="2" xfId="6" applyNumberFormat="1" applyFont="1" applyFill="1" applyBorder="1" applyAlignment="1">
      <alignment horizontal="center"/>
    </xf>
    <xf numFmtId="166" fontId="18" fillId="5" borderId="2" xfId="1" applyNumberFormat="1" applyFont="1" applyFill="1" applyBorder="1" applyAlignment="1" applyProtection="1">
      <alignment wrapText="1"/>
    </xf>
    <xf numFmtId="181" fontId="0" fillId="5" borderId="2" xfId="2" applyNumberFormat="1" applyFont="1" applyFill="1" applyBorder="1" applyAlignment="1"/>
    <xf numFmtId="166" fontId="18" fillId="0" borderId="2" xfId="1" applyNumberFormat="1" applyFont="1" applyFill="1" applyBorder="1" applyAlignment="1" applyProtection="1">
      <alignment wrapText="1"/>
    </xf>
    <xf numFmtId="0" fontId="7" fillId="0" borderId="2" xfId="0" applyFont="1" applyFill="1" applyBorder="1" applyAlignment="1" applyProtection="1">
      <alignment horizontal="center" wrapText="1"/>
    </xf>
    <xf numFmtId="0" fontId="7" fillId="0" borderId="2" xfId="0" applyFont="1" applyFill="1" applyBorder="1" applyAlignment="1" applyProtection="1">
      <alignment horizontal="center"/>
      <protection locked="0"/>
    </xf>
    <xf numFmtId="0" fontId="1" fillId="0" borderId="2" xfId="0" applyFont="1" applyBorder="1"/>
    <xf numFmtId="0" fontId="0" fillId="0" borderId="2" xfId="0" applyBorder="1" applyAlignment="1">
      <alignment wrapText="1"/>
    </xf>
    <xf numFmtId="9" fontId="0" fillId="0" borderId="2" xfId="6" applyFont="1" applyBorder="1" applyAlignment="1">
      <alignment horizontal="center"/>
    </xf>
    <xf numFmtId="166" fontId="0" fillId="0" borderId="2" xfId="1" applyNumberFormat="1" applyFont="1" applyBorder="1"/>
    <xf numFmtId="181" fontId="0" fillId="0" borderId="2" xfId="2" applyNumberFormat="1" applyFont="1" applyBorder="1"/>
    <xf numFmtId="0" fontId="18" fillId="0" borderId="2" xfId="0" applyFont="1" applyBorder="1"/>
    <xf numFmtId="0" fontId="7" fillId="0" borderId="3" xfId="0" applyFont="1" applyBorder="1" applyAlignment="1">
      <alignment horizontal="left"/>
    </xf>
    <xf numFmtId="1" fontId="0" fillId="0" borderId="2" xfId="1" applyNumberFormat="1" applyFont="1" applyBorder="1" applyAlignment="1">
      <alignment horizontal="center"/>
    </xf>
    <xf numFmtId="0" fontId="1" fillId="0" borderId="3" xfId="0" applyFont="1" applyBorder="1"/>
    <xf numFmtId="0" fontId="26" fillId="7" borderId="3" xfId="0" applyFont="1" applyFill="1" applyBorder="1" applyAlignment="1">
      <alignment horizontal="center" vertical="center"/>
    </xf>
    <xf numFmtId="0" fontId="26" fillId="8" borderId="3" xfId="0" applyFont="1" applyFill="1" applyBorder="1" applyAlignment="1">
      <alignment horizontal="center" vertical="center"/>
    </xf>
    <xf numFmtId="0" fontId="26" fillId="9" borderId="3" xfId="0" applyFont="1" applyFill="1" applyBorder="1" applyAlignment="1">
      <alignment horizontal="center" vertical="center"/>
    </xf>
    <xf numFmtId="0" fontId="7" fillId="0" borderId="2" xfId="0" applyFont="1" applyFill="1" applyBorder="1" applyAlignment="1" applyProtection="1">
      <alignment vertical="center" wrapText="1"/>
    </xf>
    <xf numFmtId="166" fontId="18" fillId="6" borderId="2" xfId="1" applyNumberFormat="1" applyFont="1" applyFill="1" applyBorder="1" applyAlignment="1" applyProtection="1">
      <alignment wrapText="1"/>
    </xf>
    <xf numFmtId="181" fontId="0" fillId="6" borderId="2" xfId="2" applyNumberFormat="1" applyFont="1" applyFill="1" applyBorder="1" applyAlignment="1"/>
    <xf numFmtId="169" fontId="0" fillId="6" borderId="2" xfId="0" applyNumberFormat="1" applyFill="1" applyBorder="1" applyAlignment="1">
      <alignment horizontal="center"/>
    </xf>
    <xf numFmtId="10" fontId="0" fillId="6" borderId="2" xfId="6" applyNumberFormat="1" applyFont="1" applyFill="1" applyBorder="1" applyAlignment="1">
      <alignment horizontal="center"/>
    </xf>
    <xf numFmtId="0" fontId="0" fillId="6" borderId="2" xfId="0" applyFill="1" applyBorder="1" applyAlignment="1">
      <alignment horizontal="center"/>
    </xf>
    <xf numFmtId="165" fontId="18" fillId="5" borderId="2" xfId="1" applyNumberFormat="1" applyFont="1" applyFill="1" applyBorder="1" applyAlignment="1" applyProtection="1">
      <alignment wrapText="1"/>
    </xf>
    <xf numFmtId="0" fontId="18" fillId="0" borderId="2" xfId="0" applyFont="1" applyFill="1" applyBorder="1" applyAlignment="1" applyProtection="1">
      <alignment vertical="center" wrapText="1"/>
    </xf>
    <xf numFmtId="9" fontId="7" fillId="0" borderId="3" xfId="6" applyFont="1" applyBorder="1"/>
    <xf numFmtId="0" fontId="1" fillId="0" borderId="6" xfId="0" applyFont="1" applyBorder="1"/>
    <xf numFmtId="0" fontId="10" fillId="0" borderId="3" xfId="0" applyFont="1" applyBorder="1"/>
    <xf numFmtId="0" fontId="3" fillId="0" borderId="3" xfId="4" applyFill="1" applyBorder="1" applyAlignment="1" applyProtection="1">
      <alignment vertical="top" wrapText="1"/>
    </xf>
    <xf numFmtId="0" fontId="11" fillId="0" borderId="3" xfId="0" applyFont="1" applyBorder="1"/>
    <xf numFmtId="9" fontId="1" fillId="0" borderId="3" xfId="6" applyBorder="1"/>
    <xf numFmtId="0" fontId="7" fillId="0" borderId="3" xfId="0" applyFont="1" applyBorder="1" applyAlignment="1">
      <alignment horizontal="right"/>
    </xf>
    <xf numFmtId="166" fontId="7" fillId="0" borderId="3" xfId="1" applyNumberFormat="1" applyFont="1" applyBorder="1"/>
    <xf numFmtId="0" fontId="15" fillId="0" borderId="3" xfId="0" applyFont="1" applyBorder="1"/>
    <xf numFmtId="0" fontId="3" fillId="0" borderId="3" xfId="4" applyBorder="1" applyAlignment="1" applyProtection="1"/>
    <xf numFmtId="0" fontId="9" fillId="0" borderId="3" xfId="0" applyFont="1" applyBorder="1"/>
    <xf numFmtId="0" fontId="11" fillId="0" borderId="6" xfId="0" applyFont="1" applyBorder="1"/>
    <xf numFmtId="9" fontId="1" fillId="0" borderId="7" xfId="6" applyBorder="1"/>
    <xf numFmtId="0" fontId="7" fillId="0" borderId="8" xfId="0" applyFont="1" applyFill="1" applyBorder="1" applyAlignment="1" applyProtection="1">
      <alignment horizontal="center" vertical="top" wrapText="1"/>
    </xf>
    <xf numFmtId="9" fontId="18" fillId="0" borderId="8" xfId="6" applyFont="1" applyFill="1" applyBorder="1" applyAlignment="1" applyProtection="1">
      <alignment horizontal="center" vertical="top" wrapText="1"/>
    </xf>
    <xf numFmtId="181" fontId="18" fillId="0" borderId="8" xfId="2" applyNumberFormat="1" applyFont="1" applyFill="1" applyBorder="1" applyAlignment="1" applyProtection="1">
      <alignment horizontal="center" vertical="top" wrapText="1"/>
    </xf>
    <xf numFmtId="9" fontId="18" fillId="0" borderId="8" xfId="6" applyFont="1" applyFill="1" applyBorder="1" applyAlignment="1" applyProtection="1">
      <alignment vertical="top" wrapText="1"/>
    </xf>
    <xf numFmtId="0" fontId="0" fillId="0" borderId="7" xfId="0" applyBorder="1" applyAlignment="1">
      <alignment wrapText="1"/>
    </xf>
    <xf numFmtId="0" fontId="10" fillId="0" borderId="6" xfId="0" applyFont="1" applyBorder="1"/>
    <xf numFmtId="0" fontId="9" fillId="0" borderId="6" xfId="0" applyFont="1" applyBorder="1"/>
    <xf numFmtId="166" fontId="0" fillId="6" borderId="2" xfId="1" applyNumberFormat="1" applyFont="1" applyFill="1" applyBorder="1" applyAlignment="1"/>
    <xf numFmtId="0" fontId="27" fillId="0" borderId="3" xfId="0" applyFont="1" applyBorder="1"/>
    <xf numFmtId="0" fontId="0" fillId="0" borderId="3" xfId="0" applyFill="1" applyBorder="1"/>
    <xf numFmtId="0" fontId="0" fillId="0" borderId="9" xfId="0" applyBorder="1"/>
    <xf numFmtId="0" fontId="7" fillId="0" borderId="9" xfId="0" applyFont="1" applyFill="1" applyBorder="1" applyAlignment="1" applyProtection="1">
      <alignment horizontal="center" vertical="top" wrapText="1"/>
    </xf>
    <xf numFmtId="0" fontId="0" fillId="0" borderId="10" xfId="0" applyBorder="1"/>
    <xf numFmtId="0" fontId="7" fillId="0" borderId="4" xfId="0" applyFont="1" applyBorder="1"/>
    <xf numFmtId="0" fontId="15" fillId="0" borderId="6" xfId="0" applyFont="1" applyBorder="1"/>
    <xf numFmtId="0" fontId="15" fillId="0" borderId="11" xfId="0" applyFont="1" applyBorder="1"/>
    <xf numFmtId="0" fontId="0" fillId="0" borderId="12" xfId="0" applyBorder="1"/>
    <xf numFmtId="0" fontId="0" fillId="0" borderId="13" xfId="0" applyBorder="1"/>
    <xf numFmtId="0" fontId="15" fillId="0" borderId="14" xfId="0" applyFont="1" applyBorder="1"/>
    <xf numFmtId="0" fontId="0" fillId="0" borderId="15" xfId="0" applyBorder="1"/>
    <xf numFmtId="0" fontId="18" fillId="0" borderId="14" xfId="0" applyFont="1" applyBorder="1"/>
    <xf numFmtId="0" fontId="11" fillId="0" borderId="14" xfId="0" applyFont="1" applyBorder="1"/>
    <xf numFmtId="0" fontId="0" fillId="0" borderId="16" xfId="0" applyBorder="1"/>
    <xf numFmtId="0" fontId="24" fillId="0" borderId="17" xfId="0" applyFont="1" applyBorder="1"/>
    <xf numFmtId="0" fontId="11" fillId="0" borderId="17" xfId="0" applyFont="1" applyBorder="1"/>
    <xf numFmtId="0" fontId="7" fillId="0" borderId="16" xfId="0" applyFont="1" applyBorder="1"/>
    <xf numFmtId="0" fontId="24" fillId="0" borderId="14" xfId="0" applyFont="1" applyBorder="1"/>
    <xf numFmtId="0" fontId="0" fillId="0" borderId="14" xfId="0" applyBorder="1"/>
    <xf numFmtId="0" fontId="0" fillId="0" borderId="17" xfId="0" applyBorder="1"/>
    <xf numFmtId="0" fontId="7" fillId="0" borderId="8" xfId="0" applyFont="1" applyBorder="1"/>
    <xf numFmtId="0" fontId="7" fillId="0" borderId="8" xfId="0" applyFont="1" applyFill="1" applyBorder="1" applyAlignment="1" applyProtection="1">
      <alignment horizontal="center" wrapText="1"/>
    </xf>
    <xf numFmtId="0" fontId="18" fillId="0" borderId="8" xfId="0" applyFont="1" applyBorder="1" applyProtection="1">
      <protection locked="0"/>
    </xf>
    <xf numFmtId="0" fontId="28" fillId="0" borderId="3" xfId="0" applyFont="1" applyBorder="1"/>
    <xf numFmtId="0" fontId="7" fillId="0" borderId="2" xfId="0" applyFont="1" applyFill="1" applyBorder="1" applyAlignment="1" applyProtection="1">
      <alignment horizontal="left" vertical="top" wrapText="1"/>
    </xf>
    <xf numFmtId="169" fontId="0" fillId="0" borderId="2" xfId="0" applyNumberForma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29" fillId="0" borderId="3" xfId="0" applyFont="1" applyBorder="1"/>
    <xf numFmtId="0" fontId="1" fillId="0" borderId="15" xfId="0" applyFont="1" applyBorder="1"/>
    <xf numFmtId="0" fontId="1" fillId="0" borderId="17" xfId="0" applyFont="1" applyBorder="1"/>
    <xf numFmtId="0" fontId="7" fillId="6" borderId="2" xfId="0" applyFont="1" applyFill="1" applyBorder="1"/>
    <xf numFmtId="0" fontId="7" fillId="6" borderId="2" xfId="0" applyFont="1" applyFill="1" applyBorder="1" applyAlignment="1">
      <alignment wrapText="1"/>
    </xf>
    <xf numFmtId="0" fontId="1" fillId="0" borderId="16" xfId="0" applyFont="1" applyBorder="1"/>
    <xf numFmtId="0" fontId="1" fillId="0" borderId="18" xfId="0" applyFont="1" applyBorder="1"/>
    <xf numFmtId="0" fontId="1" fillId="0" borderId="19" xfId="0" applyFont="1" applyBorder="1"/>
    <xf numFmtId="0" fontId="1" fillId="0" borderId="20" xfId="0" applyFont="1" applyBorder="1"/>
    <xf numFmtId="0" fontId="1" fillId="0" borderId="10" xfId="0" applyFont="1" applyBorder="1"/>
    <xf numFmtId="0" fontId="21" fillId="0" borderId="2" xfId="0" applyFont="1" applyBorder="1" applyAlignment="1">
      <alignment wrapText="1"/>
    </xf>
    <xf numFmtId="166" fontId="18" fillId="5" borderId="2" xfId="1" applyNumberFormat="1" applyFont="1" applyFill="1" applyBorder="1" applyProtection="1">
      <protection locked="0"/>
    </xf>
    <xf numFmtId="0" fontId="7" fillId="0" borderId="21" xfId="0" applyFont="1" applyBorder="1"/>
    <xf numFmtId="181" fontId="7" fillId="0" borderId="21" xfId="2" applyNumberFormat="1" applyFont="1" applyBorder="1"/>
    <xf numFmtId="166" fontId="7" fillId="0" borderId="21" xfId="1" applyNumberFormat="1" applyFont="1" applyBorder="1"/>
    <xf numFmtId="2" fontId="7" fillId="0" borderId="21" xfId="0" applyNumberFormat="1" applyFont="1" applyBorder="1" applyAlignment="1">
      <alignment horizontal="left" indent="3"/>
    </xf>
    <xf numFmtId="9" fontId="7" fillId="0" borderId="21" xfId="6" applyFont="1" applyBorder="1"/>
    <xf numFmtId="3" fontId="30" fillId="0" borderId="22" xfId="0" applyNumberFormat="1" applyFont="1" applyBorder="1"/>
    <xf numFmtId="0" fontId="30" fillId="0" borderId="22" xfId="0" applyFont="1" applyBorder="1"/>
    <xf numFmtId="166" fontId="30" fillId="0" borderId="22" xfId="0" applyNumberFormat="1" applyFont="1" applyBorder="1"/>
    <xf numFmtId="0" fontId="30" fillId="0" borderId="3" xfId="0" applyFont="1" applyBorder="1"/>
    <xf numFmtId="181" fontId="30" fillId="0" borderId="3" xfId="0" applyNumberFormat="1" applyFont="1" applyBorder="1"/>
    <xf numFmtId="2" fontId="30" fillId="0" borderId="3" xfId="0" applyNumberFormat="1" applyFont="1" applyBorder="1"/>
    <xf numFmtId="9" fontId="30" fillId="0" borderId="23" xfId="6" applyFont="1" applyBorder="1"/>
    <xf numFmtId="0" fontId="30" fillId="0" borderId="23" xfId="0" applyFont="1" applyBorder="1"/>
    <xf numFmtId="9" fontId="30" fillId="0" borderId="23" xfId="0" applyNumberFormat="1" applyFont="1" applyBorder="1"/>
    <xf numFmtId="0" fontId="7" fillId="0" borderId="2" xfId="0" applyFont="1" applyBorder="1" applyAlignment="1">
      <alignment wrapText="1"/>
    </xf>
    <xf numFmtId="0" fontId="7" fillId="0" borderId="2" xfId="0" applyFont="1" applyBorder="1"/>
    <xf numFmtId="0" fontId="1" fillId="0" borderId="2" xfId="0" applyFont="1" applyFill="1" applyBorder="1"/>
    <xf numFmtId="0" fontId="21" fillId="0" borderId="2" xfId="0" applyFont="1" applyFill="1" applyBorder="1"/>
    <xf numFmtId="166" fontId="1" fillId="0" borderId="2" xfId="1" applyNumberFormat="1" applyBorder="1"/>
    <xf numFmtId="166" fontId="18" fillId="5" borderId="2" xfId="1" applyNumberFormat="1" applyFont="1" applyFill="1" applyBorder="1" applyAlignment="1" applyProtection="1">
      <alignment vertical="top" wrapText="1"/>
    </xf>
    <xf numFmtId="0" fontId="18" fillId="5" borderId="2" xfId="0" applyFont="1" applyFill="1" applyBorder="1" applyProtection="1">
      <protection locked="0"/>
    </xf>
    <xf numFmtId="1" fontId="1" fillId="5" borderId="2" xfId="0" applyNumberFormat="1" applyFont="1" applyFill="1" applyBorder="1" applyProtection="1">
      <protection locked="0"/>
    </xf>
    <xf numFmtId="167" fontId="18" fillId="5" borderId="2" xfId="0" applyNumberFormat="1" applyFont="1" applyFill="1" applyBorder="1" applyProtection="1">
      <protection locked="0"/>
    </xf>
    <xf numFmtId="0" fontId="18" fillId="5" borderId="2" xfId="0" applyFont="1" applyFill="1" applyBorder="1" applyAlignment="1" applyProtection="1">
      <alignment horizontal="center"/>
      <protection locked="0"/>
    </xf>
    <xf numFmtId="3" fontId="1" fillId="4" borderId="2" xfId="0" applyNumberFormat="1" applyFont="1" applyFill="1" applyBorder="1" applyProtection="1">
      <protection locked="0"/>
    </xf>
    <xf numFmtId="166" fontId="0" fillId="4" borderId="2" xfId="1" applyNumberFormat="1" applyFont="1" applyFill="1" applyBorder="1" applyAlignment="1" applyProtection="1">
      <protection locked="0"/>
    </xf>
    <xf numFmtId="9" fontId="0" fillId="4" borderId="2" xfId="6"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0" borderId="3" xfId="0" applyBorder="1" applyProtection="1">
      <protection locked="0"/>
    </xf>
    <xf numFmtId="0" fontId="18" fillId="5" borderId="2" xfId="0" applyFont="1" applyFill="1" applyBorder="1" applyAlignment="1" applyProtection="1">
      <alignment wrapText="1"/>
      <protection locked="0"/>
    </xf>
    <xf numFmtId="0" fontId="0" fillId="0" borderId="5" xfId="0" applyBorder="1" applyAlignment="1"/>
    <xf numFmtId="0" fontId="32" fillId="9" borderId="3" xfId="0" applyFont="1" applyFill="1" applyBorder="1" applyAlignment="1">
      <alignment horizontal="center" vertical="center"/>
    </xf>
    <xf numFmtId="0" fontId="32" fillId="7" borderId="3" xfId="0" applyFont="1" applyFill="1" applyBorder="1" applyAlignment="1">
      <alignment horizontal="center" vertical="center"/>
    </xf>
    <xf numFmtId="0" fontId="32" fillId="8" borderId="3" xfId="0" applyFont="1" applyFill="1" applyBorder="1" applyAlignment="1">
      <alignment horizontal="center" vertical="center"/>
    </xf>
    <xf numFmtId="0" fontId="0" fillId="0" borderId="3" xfId="0" applyBorder="1" applyAlignment="1">
      <alignment horizontal="center" vertical="center" textRotation="90"/>
    </xf>
    <xf numFmtId="0" fontId="3" fillId="0" borderId="2" xfId="4" applyFill="1" applyBorder="1" applyAlignment="1" applyProtection="1">
      <alignment horizontal="center" vertical="top" wrapText="1"/>
    </xf>
    <xf numFmtId="0" fontId="1" fillId="0" borderId="24" xfId="0" applyFont="1" applyBorder="1"/>
    <xf numFmtId="0" fontId="1" fillId="0" borderId="25" xfId="0" applyFont="1" applyBorder="1"/>
    <xf numFmtId="0" fontId="1" fillId="6" borderId="24" xfId="0" applyFont="1" applyFill="1" applyBorder="1"/>
    <xf numFmtId="0" fontId="1" fillId="6" borderId="0" xfId="0" applyFont="1" applyFill="1" applyBorder="1"/>
    <xf numFmtId="3" fontId="1" fillId="6" borderId="0" xfId="0" applyNumberFormat="1" applyFont="1" applyFill="1" applyBorder="1" applyProtection="1">
      <protection locked="0"/>
    </xf>
    <xf numFmtId="0" fontId="1" fillId="6" borderId="25" xfId="0" applyFont="1" applyFill="1" applyBorder="1"/>
    <xf numFmtId="0" fontId="1" fillId="0" borderId="23" xfId="0" applyFont="1" applyBorder="1"/>
    <xf numFmtId="0" fontId="0" fillId="0" borderId="26" xfId="0" applyBorder="1"/>
    <xf numFmtId="166" fontId="0" fillId="5" borderId="2" xfId="1" applyNumberFormat="1" applyFont="1" applyFill="1" applyBorder="1" applyAlignment="1" applyProtection="1">
      <alignment horizontal="right"/>
    </xf>
    <xf numFmtId="0" fontId="0" fillId="0" borderId="0" xfId="0" applyBorder="1"/>
    <xf numFmtId="0" fontId="0" fillId="0" borderId="2" xfId="0" applyFill="1" applyBorder="1"/>
    <xf numFmtId="0" fontId="0" fillId="0" borderId="2" xfId="0" applyBorder="1" applyAlignment="1">
      <alignment horizontal="center"/>
    </xf>
    <xf numFmtId="0" fontId="0" fillId="0" borderId="23" xfId="0" applyBorder="1"/>
    <xf numFmtId="0" fontId="1" fillId="0" borderId="27" xfId="0" applyFont="1" applyBorder="1"/>
    <xf numFmtId="0" fontId="0" fillId="6" borderId="0" xfId="0" applyFill="1" applyBorder="1"/>
    <xf numFmtId="0" fontId="0" fillId="6" borderId="28" xfId="0" applyFill="1" applyBorder="1"/>
    <xf numFmtId="0" fontId="0" fillId="6" borderId="29" xfId="0" applyFill="1" applyBorder="1"/>
    <xf numFmtId="0" fontId="0" fillId="6" borderId="30" xfId="0" applyFill="1" applyBorder="1"/>
    <xf numFmtId="0" fontId="0" fillId="6" borderId="8" xfId="0" applyFill="1" applyBorder="1"/>
    <xf numFmtId="0" fontId="0" fillId="6" borderId="16" xfId="0" applyFill="1" applyBorder="1"/>
    <xf numFmtId="0" fontId="0" fillId="6" borderId="3" xfId="0" applyFill="1" applyBorder="1"/>
    <xf numFmtId="3" fontId="1" fillId="6" borderId="31" xfId="0" applyNumberFormat="1" applyFont="1" applyFill="1" applyBorder="1" applyProtection="1">
      <protection locked="0"/>
    </xf>
    <xf numFmtId="0" fontId="7" fillId="0" borderId="2" xfId="0" applyFont="1" applyFill="1" applyBorder="1"/>
    <xf numFmtId="0" fontId="0" fillId="5" borderId="2" xfId="6" applyNumberFormat="1" applyFont="1" applyFill="1" applyBorder="1" applyAlignment="1">
      <alignment horizontal="center"/>
    </xf>
    <xf numFmtId="0" fontId="7" fillId="0" borderId="3" xfId="6" applyNumberFormat="1" applyFont="1" applyBorder="1"/>
    <xf numFmtId="0" fontId="10" fillId="6" borderId="4" xfId="0" applyFont="1" applyFill="1" applyBorder="1"/>
    <xf numFmtId="0" fontId="34" fillId="6" borderId="0" xfId="0" applyFont="1" applyFill="1" applyBorder="1"/>
    <xf numFmtId="0" fontId="35" fillId="0" borderId="3" xfId="0" applyFont="1" applyBorder="1"/>
    <xf numFmtId="14" fontId="0" fillId="0" borderId="4" xfId="0" applyNumberFormat="1" applyBorder="1"/>
    <xf numFmtId="0" fontId="0" fillId="6" borderId="32" xfId="0" applyFill="1" applyBorder="1"/>
    <xf numFmtId="0" fontId="0" fillId="6" borderId="6" xfId="0" applyFill="1" applyBorder="1"/>
    <xf numFmtId="0" fontId="0" fillId="6" borderId="33" xfId="0" applyFill="1" applyBorder="1"/>
    <xf numFmtId="0" fontId="0" fillId="6" borderId="7" xfId="0" applyFill="1" applyBorder="1"/>
    <xf numFmtId="0" fontId="0" fillId="6" borderId="34" xfId="0" applyFill="1" applyBorder="1"/>
    <xf numFmtId="0" fontId="0" fillId="6" borderId="35" xfId="0" applyFill="1" applyBorder="1"/>
    <xf numFmtId="0" fontId="0" fillId="6" borderId="36" xfId="0" applyFill="1" applyBorder="1"/>
    <xf numFmtId="0" fontId="0" fillId="6" borderId="37" xfId="0" applyFill="1" applyBorder="1"/>
    <xf numFmtId="0" fontId="0" fillId="6" borderId="14" xfId="0" applyFill="1" applyBorder="1"/>
    <xf numFmtId="0" fontId="0" fillId="6" borderId="15" xfId="0" applyFill="1" applyBorder="1"/>
    <xf numFmtId="0" fontId="0" fillId="6" borderId="18" xfId="0" applyFill="1" applyBorder="1"/>
    <xf numFmtId="0" fontId="0" fillId="6" borderId="38" xfId="0" applyFill="1" applyBorder="1"/>
    <xf numFmtId="0" fontId="0" fillId="6" borderId="20" xfId="0" applyFill="1" applyBorder="1"/>
    <xf numFmtId="0" fontId="15" fillId="6" borderId="11" xfId="0" applyFont="1" applyFill="1" applyBorder="1"/>
    <xf numFmtId="0" fontId="0" fillId="6" borderId="12" xfId="0" applyFill="1" applyBorder="1"/>
    <xf numFmtId="0" fontId="0" fillId="6" borderId="13" xfId="0" applyFill="1" applyBorder="1"/>
    <xf numFmtId="0" fontId="15" fillId="6" borderId="14" xfId="0" applyFont="1" applyFill="1" applyBorder="1"/>
    <xf numFmtId="0" fontId="27" fillId="6" borderId="3" xfId="0" applyFont="1" applyFill="1" applyBorder="1"/>
    <xf numFmtId="0" fontId="18" fillId="6" borderId="14" xfId="0" applyFont="1" applyFill="1" applyBorder="1"/>
    <xf numFmtId="0" fontId="11" fillId="6" borderId="14" xfId="0" applyFont="1" applyFill="1" applyBorder="1"/>
    <xf numFmtId="0" fontId="0" fillId="6" borderId="9" xfId="0" applyFill="1" applyBorder="1"/>
    <xf numFmtId="0" fontId="7" fillId="6" borderId="2" xfId="0" applyFont="1" applyFill="1" applyBorder="1" applyAlignment="1" applyProtection="1">
      <alignment horizontal="center" vertical="top" wrapText="1"/>
    </xf>
    <xf numFmtId="0" fontId="24" fillId="6" borderId="14" xfId="0" applyFont="1" applyFill="1" applyBorder="1"/>
    <xf numFmtId="166" fontId="18" fillId="6" borderId="2" xfId="1" applyNumberFormat="1" applyFont="1" applyFill="1" applyBorder="1" applyAlignment="1" applyProtection="1">
      <alignment vertical="top" wrapText="1"/>
    </xf>
    <xf numFmtId="9" fontId="18" fillId="6" borderId="2" xfId="6" applyFont="1" applyFill="1" applyBorder="1" applyAlignment="1" applyProtection="1">
      <alignment vertical="top" wrapText="1"/>
    </xf>
    <xf numFmtId="166" fontId="7" fillId="6" borderId="2" xfId="1" applyNumberFormat="1" applyFont="1" applyFill="1" applyBorder="1" applyAlignment="1" applyProtection="1">
      <alignment vertical="top" wrapText="1"/>
    </xf>
    <xf numFmtId="9" fontId="7" fillId="6" borderId="2" xfId="6" applyFont="1" applyFill="1" applyBorder="1" applyAlignment="1" applyProtection="1">
      <alignment vertical="top" wrapText="1"/>
    </xf>
    <xf numFmtId="0" fontId="7" fillId="6" borderId="15" xfId="0" applyFont="1" applyFill="1" applyBorder="1"/>
    <xf numFmtId="0" fontId="0" fillId="6" borderId="10" xfId="0" applyFill="1" applyBorder="1"/>
    <xf numFmtId="0" fontId="7" fillId="6" borderId="9" xfId="0" applyFont="1" applyFill="1" applyBorder="1" applyAlignment="1" applyProtection="1">
      <alignment horizontal="center" vertical="top" wrapText="1"/>
    </xf>
    <xf numFmtId="0" fontId="0" fillId="6" borderId="0" xfId="0" applyFill="1" applyBorder="1" applyAlignment="1"/>
    <xf numFmtId="0" fontId="18" fillId="0" borderId="39" xfId="0" applyFont="1" applyFill="1" applyBorder="1" applyAlignment="1" applyProtection="1">
      <alignment vertical="top" wrapText="1"/>
    </xf>
    <xf numFmtId="0" fontId="36" fillId="0" borderId="2" xfId="0" applyFont="1" applyBorder="1" applyAlignment="1">
      <alignment horizontal="left" wrapText="1"/>
    </xf>
    <xf numFmtId="0" fontId="1" fillId="0" borderId="2" xfId="0" applyFont="1" applyBorder="1" applyAlignment="1">
      <alignment wrapText="1"/>
    </xf>
    <xf numFmtId="1" fontId="18" fillId="6" borderId="2" xfId="0" applyNumberFormat="1" applyFont="1" applyFill="1" applyBorder="1" applyAlignment="1">
      <alignment horizontal="center"/>
    </xf>
    <xf numFmtId="1" fontId="0" fillId="0" borderId="2" xfId="0" applyNumberFormat="1" applyBorder="1"/>
    <xf numFmtId="0" fontId="0" fillId="0" borderId="40" xfId="0" applyBorder="1"/>
    <xf numFmtId="0" fontId="0" fillId="6" borderId="41" xfId="0" applyFill="1" applyBorder="1"/>
    <xf numFmtId="0" fontId="0" fillId="6" borderId="0" xfId="0" applyFill="1" applyBorder="1" applyAlignment="1">
      <alignment horizontal="left"/>
    </xf>
    <xf numFmtId="0" fontId="0" fillId="6" borderId="42" xfId="0" applyFill="1" applyBorder="1" applyAlignment="1">
      <alignment horizontal="left"/>
    </xf>
    <xf numFmtId="0" fontId="0" fillId="0" borderId="2" xfId="0" applyBorder="1" applyAlignment="1">
      <alignment horizontal="center" vertical="center"/>
    </xf>
    <xf numFmtId="9" fontId="18" fillId="0" borderId="2" xfId="6" applyFont="1" applyFill="1" applyBorder="1" applyAlignment="1" applyProtection="1">
      <alignment horizontal="center" vertical="center" wrapText="1"/>
    </xf>
    <xf numFmtId="9" fontId="0" fillId="0" borderId="2" xfId="0" applyNumberFormat="1" applyBorder="1" applyAlignment="1">
      <alignment horizontal="center" vertical="center"/>
    </xf>
    <xf numFmtId="9" fontId="0" fillId="4" borderId="41" xfId="6" applyFont="1" applyFill="1" applyBorder="1" applyAlignment="1" applyProtection="1">
      <alignment horizontal="center"/>
      <protection locked="0"/>
    </xf>
    <xf numFmtId="181" fontId="18" fillId="0" borderId="2" xfId="2" applyNumberFormat="1" applyFont="1" applyFill="1" applyBorder="1" applyAlignment="1" applyProtection="1">
      <alignment horizontal="center" vertical="center" wrapText="1"/>
    </xf>
    <xf numFmtId="0" fontId="7" fillId="0" borderId="41" xfId="0" applyFont="1" applyFill="1" applyBorder="1" applyAlignment="1" applyProtection="1">
      <alignment horizontal="center" vertical="top" wrapText="1"/>
    </xf>
    <xf numFmtId="0" fontId="0" fillId="0" borderId="6" xfId="0" applyBorder="1" applyAlignment="1">
      <alignment wrapText="1"/>
    </xf>
    <xf numFmtId="0" fontId="0" fillId="6" borderId="0" xfId="0" applyFill="1" applyBorder="1" applyAlignment="1">
      <alignment wrapText="1"/>
    </xf>
    <xf numFmtId="0" fontId="18" fillId="0" borderId="2" xfId="0" applyFont="1" applyBorder="1" applyAlignment="1">
      <alignment wrapText="1"/>
    </xf>
    <xf numFmtId="0" fontId="0" fillId="0" borderId="43" xfId="0"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166" fontId="18" fillId="4" borderId="2" xfId="1" applyNumberFormat="1" applyFont="1" applyFill="1" applyBorder="1" applyAlignment="1" applyProtection="1">
      <alignment horizontal="center"/>
      <protection locked="0"/>
    </xf>
    <xf numFmtId="0" fontId="0" fillId="0" borderId="9" xfId="0" applyBorder="1" applyAlignment="1">
      <alignment horizontal="left"/>
    </xf>
    <xf numFmtId="0" fontId="0" fillId="0" borderId="46" xfId="0" applyBorder="1" applyAlignment="1">
      <alignment horizontal="left"/>
    </xf>
    <xf numFmtId="0" fontId="0" fillId="0" borderId="5" xfId="0" applyBorder="1" applyAlignment="1">
      <alignment horizontal="left"/>
    </xf>
    <xf numFmtId="0" fontId="7" fillId="0" borderId="3" xfId="0" applyFont="1" applyBorder="1" applyAlignment="1">
      <alignment horizontal="left"/>
    </xf>
    <xf numFmtId="0" fontId="7" fillId="0"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0" fontId="7" fillId="0" borderId="48" xfId="0" applyFont="1" applyFill="1" applyBorder="1" applyAlignment="1" applyProtection="1">
      <alignment horizontal="center" vertical="center" wrapText="1"/>
    </xf>
    <xf numFmtId="0" fontId="3" fillId="0" borderId="3" xfId="4" applyBorder="1" applyAlignment="1" applyProtection="1">
      <alignment horizontal="left"/>
    </xf>
    <xf numFmtId="0" fontId="18" fillId="0" borderId="41" xfId="0" applyFont="1" applyFill="1" applyBorder="1" applyAlignment="1" applyProtection="1">
      <alignment horizontal="left" vertical="top" wrapText="1"/>
    </xf>
    <xf numFmtId="0" fontId="0" fillId="0" borderId="49" xfId="0" applyBorder="1"/>
    <xf numFmtId="0" fontId="0" fillId="0" borderId="42" xfId="0" applyBorder="1"/>
    <xf numFmtId="0" fontId="7" fillId="0" borderId="41" xfId="0" applyFont="1" applyFill="1" applyBorder="1" applyAlignment="1" applyProtection="1">
      <alignment horizontal="center" vertical="center" wrapText="1"/>
    </xf>
    <xf numFmtId="0" fontId="7" fillId="0" borderId="49" xfId="0" applyFont="1" applyFill="1" applyBorder="1" applyAlignment="1" applyProtection="1">
      <alignment horizontal="center" vertical="center" wrapText="1"/>
    </xf>
    <xf numFmtId="0" fontId="7" fillId="0" borderId="42" xfId="0" applyFont="1" applyFill="1" applyBorder="1" applyAlignment="1" applyProtection="1">
      <alignment horizontal="center" vertical="center" wrapText="1"/>
    </xf>
    <xf numFmtId="0" fontId="25" fillId="0" borderId="3" xfId="0" applyFont="1" applyBorder="1" applyAlignment="1">
      <alignment horizontal="center" vertical="center" textRotation="90"/>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25" fillId="0" borderId="5" xfId="0" applyFont="1" applyBorder="1" applyAlignment="1">
      <alignment horizontal="center" vertical="center"/>
    </xf>
    <xf numFmtId="0" fontId="0" fillId="0" borderId="41" xfId="0" applyBorder="1" applyAlignment="1">
      <alignment horizontal="left"/>
    </xf>
    <xf numFmtId="0" fontId="0" fillId="0" borderId="49" xfId="0" applyBorder="1" applyAlignment="1"/>
    <xf numFmtId="0" fontId="0" fillId="0" borderId="42" xfId="0" applyBorder="1" applyAlignment="1"/>
    <xf numFmtId="0" fontId="0" fillId="0" borderId="2" xfId="0" applyBorder="1" applyAlignment="1">
      <alignment horizontal="left"/>
    </xf>
    <xf numFmtId="0" fontId="0" fillId="0" borderId="2" xfId="0" applyBorder="1"/>
    <xf numFmtId="0" fontId="18" fillId="0" borderId="41" xfId="0" applyFont="1" applyBorder="1" applyAlignment="1">
      <alignment horizontal="left"/>
    </xf>
    <xf numFmtId="0" fontId="7" fillId="0" borderId="2" xfId="0" applyFont="1" applyBorder="1" applyAlignment="1">
      <alignment horizontal="left"/>
    </xf>
    <xf numFmtId="0" fontId="7" fillId="0" borderId="2" xfId="0" applyFont="1" applyBorder="1"/>
    <xf numFmtId="0" fontId="0" fillId="0" borderId="4" xfId="0" applyBorder="1" applyAlignment="1">
      <alignment horizontal="left"/>
    </xf>
    <xf numFmtId="0" fontId="0" fillId="0" borderId="8" xfId="0" applyBorder="1"/>
    <xf numFmtId="0" fontId="0" fillId="0" borderId="5" xfId="0" applyBorder="1"/>
    <xf numFmtId="0" fontId="0" fillId="0" borderId="49" xfId="0" applyBorder="1" applyAlignment="1">
      <alignment horizontal="left"/>
    </xf>
    <xf numFmtId="0" fontId="0" fillId="0" borderId="42" xfId="0" applyBorder="1" applyAlignment="1">
      <alignment horizontal="left"/>
    </xf>
    <xf numFmtId="0" fontId="3" fillId="6" borderId="2" xfId="4" applyFill="1" applyBorder="1" applyAlignment="1" applyProtection="1">
      <alignment horizontal="center" vertical="top" wrapText="1"/>
      <protection locked="0"/>
    </xf>
  </cellXfs>
  <cellStyles count="8">
    <cellStyle name="Comma" xfId="1" builtinId="3"/>
    <cellStyle name="Currency" xfId="2" builtinId="4"/>
    <cellStyle name="Dark heading" xfId="3"/>
    <cellStyle name="Hyperlink" xfId="4" builtinId="8"/>
    <cellStyle name="Light blue" xfId="5"/>
    <cellStyle name="Normal" xfId="0" builtinId="0"/>
    <cellStyle name="Percent" xfId="6" builtinId="5"/>
    <cellStyle name="temp heading" xfId="7"/>
  </cellStyles>
  <dxfs count="1">
    <dxf>
      <font>
        <strike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50" b="1" i="0" u="none" strike="noStrike" baseline="0">
                <a:solidFill>
                  <a:srgbClr val="000000"/>
                </a:solidFill>
                <a:latin typeface="Arial"/>
                <a:ea typeface="Arial"/>
                <a:cs typeface="Arial"/>
              </a:defRPr>
            </a:pPr>
            <a:r>
              <a:t>Buildings emission reductions</a:t>
            </a:r>
          </a:p>
        </c:rich>
      </c:tx>
      <c:layout>
        <c:manualLayout>
          <c:xMode val="edge"/>
          <c:yMode val="edge"/>
          <c:x val="0.33898367427258835"/>
          <c:y val="4.2016892924626043E-2"/>
        </c:manualLayout>
      </c:layout>
      <c:spPr>
        <a:noFill/>
        <a:ln w="25400">
          <a:noFill/>
        </a:ln>
      </c:spPr>
    </c:title>
    <c:plotArea>
      <c:layout>
        <c:manualLayout>
          <c:layoutTarget val="inner"/>
          <c:xMode val="edge"/>
          <c:yMode val="edge"/>
          <c:x val="0.23540532935596412"/>
          <c:y val="0.30252162905730751"/>
          <c:w val="0.69679977489365386"/>
          <c:h val="0.44958075429349864"/>
        </c:manualLayout>
      </c:layout>
      <c:barChart>
        <c:barDir val="bar"/>
        <c:grouping val="stacked"/>
        <c:ser>
          <c:idx val="0"/>
          <c:order val="0"/>
          <c:tx>
            <c:strRef>
              <c:f>'Graphs&amp;Analysis'!$C$8</c:f>
              <c:strCache>
                <c:ptCount val="1"/>
                <c:pt idx="0">
                  <c:v> halls </c:v>
                </c:pt>
              </c:strCache>
            </c:strRef>
          </c:tx>
          <c:spPr>
            <a:solidFill>
              <a:srgbClr val="9999FF"/>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'Graphs&amp;Analysis'!$D$8:$E$8</c:f>
              <c:numCache>
                <c:formatCode>_-* #,##0_-;\-* #,##0_-;_-* "-"??_-;_-@_-</c:formatCode>
                <c:ptCount val="2"/>
                <c:pt idx="0">
                  <c:v>7150.5047067930009</c:v>
                </c:pt>
                <c:pt idx="1">
                  <c:v>5519.9908852253702</c:v>
                </c:pt>
              </c:numCache>
            </c:numRef>
          </c:val>
        </c:ser>
        <c:ser>
          <c:idx val="1"/>
          <c:order val="1"/>
          <c:tx>
            <c:strRef>
              <c:f>'Graphs&amp;Analysis'!$C$9</c:f>
              <c:strCache>
                <c:ptCount val="1"/>
                <c:pt idx="0">
                  <c:v> Buildings Category 2 </c:v>
                </c:pt>
              </c:strCache>
            </c:strRef>
          </c:tx>
          <c:spPr>
            <a:solidFill>
              <a:srgbClr val="993366"/>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'Graphs&amp;Analysis'!$D$9:$E$9</c:f>
              <c:numCache>
                <c:formatCode>_-* #,##0_-;\-* #,##0_-;_-* "-"??_-;_-@_-</c:formatCode>
                <c:ptCount val="2"/>
                <c:pt idx="0">
                  <c:v>6300.9920000000002</c:v>
                </c:pt>
                <c:pt idx="1">
                  <c:v>5996.0707285454546</c:v>
                </c:pt>
              </c:numCache>
            </c:numRef>
          </c:val>
        </c:ser>
        <c:ser>
          <c:idx val="2"/>
          <c:order val="2"/>
          <c:tx>
            <c:strRef>
              <c:f>'Graphs&amp;Analysis'!$C$10</c:f>
              <c:strCache>
                <c:ptCount val="1"/>
                <c:pt idx="0">
                  <c:v> Buildings Category 3 </c:v>
                </c:pt>
              </c:strCache>
            </c:strRef>
          </c:tx>
          <c:spPr>
            <a:solidFill>
              <a:srgbClr val="FFFFCC"/>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'Graphs&amp;Analysis'!$D$10:$E$10</c:f>
              <c:numCache>
                <c:formatCode>_-* #,##0_-;\-* #,##0_-;_-* "-"??_-;_-@_-</c:formatCode>
                <c:ptCount val="2"/>
                <c:pt idx="0">
                  <c:v>2098.1898400000005</c:v>
                </c:pt>
                <c:pt idx="1">
                  <c:v>2098.1898400000005</c:v>
                </c:pt>
              </c:numCache>
            </c:numRef>
          </c:val>
        </c:ser>
        <c:ser>
          <c:idx val="3"/>
          <c:order val="3"/>
          <c:tx>
            <c:strRef>
              <c:f>'Graphs&amp;Analysis'!$C$11</c:f>
              <c:strCache>
                <c:ptCount val="1"/>
                <c:pt idx="0">
                  <c:v> Buildings Category 4 </c:v>
                </c:pt>
              </c:strCache>
            </c:strRef>
          </c:tx>
          <c:spPr>
            <a:solidFill>
              <a:srgbClr val="CCFFFF"/>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'Graphs&amp;Analysis'!$D$11:$E$11</c:f>
              <c:numCache>
                <c:formatCode>_-* #,##0_-;\-* #,##0_-;_-* "-"??_-;_-@_-</c:formatCode>
                <c:ptCount val="2"/>
                <c:pt idx="0">
                  <c:v>0</c:v>
                </c:pt>
                <c:pt idx="1">
                  <c:v>0</c:v>
                </c:pt>
              </c:numCache>
            </c:numRef>
          </c:val>
        </c:ser>
        <c:ser>
          <c:idx val="4"/>
          <c:order val="4"/>
          <c:tx>
            <c:strRef>
              <c:f>'Graphs&amp;Analysis'!$C$12</c:f>
              <c:strCache>
                <c:ptCount val="1"/>
                <c:pt idx="0">
                  <c:v> Buildings Category 5 </c:v>
                </c:pt>
              </c:strCache>
            </c:strRef>
          </c:tx>
          <c:spPr>
            <a:solidFill>
              <a:srgbClr val="660066"/>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'Graphs&amp;Analysis'!$D$12:$E$12</c:f>
              <c:numCache>
                <c:formatCode>_-* #,##0_-;\-* #,##0_-;_-* "-"??_-;_-@_-</c:formatCode>
                <c:ptCount val="2"/>
                <c:pt idx="0">
                  <c:v>0</c:v>
                </c:pt>
                <c:pt idx="1">
                  <c:v>0</c:v>
                </c:pt>
              </c:numCache>
            </c:numRef>
          </c:val>
        </c:ser>
        <c:ser>
          <c:idx val="5"/>
          <c:order val="5"/>
          <c:tx>
            <c:strRef>
              <c:f>'Graphs&amp;Analysis'!$C$13</c:f>
              <c:strCache>
                <c:ptCount val="1"/>
                <c:pt idx="0">
                  <c:v> Buildings Category 6 </c:v>
                </c:pt>
              </c:strCache>
            </c:strRef>
          </c:tx>
          <c:spPr>
            <a:solidFill>
              <a:srgbClr val="FF8080"/>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'Graphs&amp;Analysis'!$D$13:$E$13</c:f>
              <c:numCache>
                <c:formatCode>_-* #,##0_-;\-* #,##0_-;_-* "-"??_-;_-@_-</c:formatCode>
                <c:ptCount val="2"/>
                <c:pt idx="0">
                  <c:v>0</c:v>
                </c:pt>
                <c:pt idx="1">
                  <c:v>0</c:v>
                </c:pt>
              </c:numCache>
            </c:numRef>
          </c:val>
        </c:ser>
        <c:ser>
          <c:idx val="6"/>
          <c:order val="6"/>
          <c:tx>
            <c:strRef>
              <c:f>'Graphs&amp;Analysis'!$C$14</c:f>
              <c:strCache>
                <c:ptCount val="1"/>
                <c:pt idx="0">
                  <c:v> Buildings Category 7 </c:v>
                </c:pt>
              </c:strCache>
            </c:strRef>
          </c:tx>
          <c:spPr>
            <a:solidFill>
              <a:srgbClr val="0066CC"/>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'Graphs&amp;Analysis'!$D$14:$E$14</c:f>
              <c:numCache>
                <c:formatCode>_-* #,##0_-;\-* #,##0_-;_-* "-"??_-;_-@_-</c:formatCode>
                <c:ptCount val="2"/>
                <c:pt idx="0">
                  <c:v>0</c:v>
                </c:pt>
                <c:pt idx="1">
                  <c:v>0</c:v>
                </c:pt>
              </c:numCache>
            </c:numRef>
          </c:val>
        </c:ser>
        <c:gapWidth val="100"/>
        <c:overlap val="100"/>
        <c:serLines>
          <c:spPr>
            <a:ln w="3175">
              <a:solidFill>
                <a:srgbClr val="000000"/>
              </a:solidFill>
              <a:prstDash val="solid"/>
            </a:ln>
          </c:spPr>
        </c:serLines>
        <c:axId val="67493888"/>
        <c:axId val="67495424"/>
      </c:barChart>
      <c:catAx>
        <c:axId val="67493888"/>
        <c:scaling>
          <c:orientation val="maxMin"/>
        </c:scaling>
        <c:axPos val="l"/>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67495424"/>
        <c:crosses val="autoZero"/>
        <c:auto val="1"/>
        <c:lblAlgn val="ctr"/>
        <c:lblOffset val="100"/>
        <c:tickLblSkip val="1"/>
        <c:tickMarkSkip val="1"/>
      </c:catAx>
      <c:valAx>
        <c:axId val="67495424"/>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7493888"/>
        <c:crosses val="autoZero"/>
        <c:crossBetween val="between"/>
      </c:valAx>
      <c:spPr>
        <a:solidFill>
          <a:srgbClr val="C0C0C0"/>
        </a:solidFill>
        <a:ln w="12700">
          <a:solidFill>
            <a:srgbClr val="808080"/>
          </a:solidFill>
          <a:prstDash val="solid"/>
        </a:ln>
      </c:spPr>
    </c:plotArea>
    <c:legend>
      <c:legendPos val="b"/>
      <c:layout>
        <c:manualLayout>
          <c:xMode val="edge"/>
          <c:yMode val="edge"/>
          <c:x val="6.7796734854517662E-2"/>
          <c:y val="0.79832096556789478"/>
          <c:w val="0.8625251267602525"/>
          <c:h val="0.17226926099096679"/>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t>Wedges graph with transport breakdown</a:t>
            </a:r>
          </a:p>
        </c:rich>
      </c:tx>
      <c:layout>
        <c:manualLayout>
          <c:xMode val="edge"/>
          <c:yMode val="edge"/>
          <c:x val="0.23345609189748598"/>
          <c:y val="3.3519598790479319E-2"/>
        </c:manualLayout>
      </c:layout>
      <c:spPr>
        <a:noFill/>
        <a:ln w="25400">
          <a:noFill/>
        </a:ln>
      </c:spPr>
    </c:title>
    <c:plotArea>
      <c:layout>
        <c:manualLayout>
          <c:layoutTarget val="inner"/>
          <c:xMode val="edge"/>
          <c:yMode val="edge"/>
          <c:x val="0.10845597970040687"/>
          <c:y val="0.18994439314604949"/>
          <c:w val="0.85661841593880683"/>
          <c:h val="0.55586667994211536"/>
        </c:manualLayout>
      </c:layout>
      <c:areaChart>
        <c:grouping val="stacked"/>
        <c:ser>
          <c:idx val="0"/>
          <c:order val="0"/>
          <c:tx>
            <c:strRef>
              <c:f>'Graphs&amp;Analysis'!$C$15</c:f>
              <c:strCache>
                <c:ptCount val="1"/>
                <c:pt idx="0">
                  <c:v> Transport Category 1 </c:v>
                </c:pt>
              </c:strCache>
            </c:strRef>
          </c:tx>
          <c:spPr>
            <a:solidFill>
              <a:srgbClr val="9999FF"/>
            </a:solidFill>
            <a:ln w="12700">
              <a:solidFill>
                <a:srgbClr val="000000"/>
              </a:solidFill>
              <a:prstDash val="solid"/>
            </a:ln>
          </c:spPr>
          <c:dLbls>
            <c:dLbl>
              <c:idx val="1"/>
              <c:layout>
                <c:manualLayout>
                  <c:xMode val="edge"/>
                  <c:yMode val="edge"/>
                  <c:x val="0.91360376120512232"/>
                  <c:y val="0.7150847741968922"/>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'Graphs&amp;Analysis'!$P$15:$Q$15</c:f>
              <c:numCache>
                <c:formatCode>0%</c:formatCode>
                <c:ptCount val="2"/>
                <c:pt idx="0" formatCode="_-* #,##0_-;\-* #,##0_-;_-* &quot;-&quot;??_-;_-@_-">
                  <c:v>0</c:v>
                </c:pt>
                <c:pt idx="1">
                  <c:v>0</c:v>
                </c:pt>
              </c:numCache>
            </c:numRef>
          </c:val>
        </c:ser>
        <c:ser>
          <c:idx val="1"/>
          <c:order val="1"/>
          <c:tx>
            <c:strRef>
              <c:f>'Graphs&amp;Analysis'!$C$16</c:f>
              <c:strCache>
                <c:ptCount val="1"/>
                <c:pt idx="0">
                  <c:v> business Air </c:v>
                </c:pt>
              </c:strCache>
            </c:strRef>
          </c:tx>
          <c:spPr>
            <a:solidFill>
              <a:srgbClr val="993366"/>
            </a:solidFill>
            <a:ln w="12700">
              <a:solidFill>
                <a:srgbClr val="000000"/>
              </a:solidFill>
              <a:prstDash val="solid"/>
            </a:ln>
          </c:spPr>
          <c:dLbls>
            <c:dLbl>
              <c:idx val="1"/>
              <c:layout>
                <c:manualLayout>
                  <c:xMode val="edge"/>
                  <c:yMode val="edge"/>
                  <c:x val="0.89705962870845002"/>
                  <c:y val="0.72625797379371859"/>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'Graphs&amp;Analysis'!$P$16:$Q$16</c:f>
              <c:numCache>
                <c:formatCode>0%</c:formatCode>
                <c:ptCount val="2"/>
                <c:pt idx="0" formatCode="_-* #,##0_-;\-* #,##0_-;_-* &quot;-&quot;??_-;_-@_-">
                  <c:v>0</c:v>
                </c:pt>
                <c:pt idx="1">
                  <c:v>0</c:v>
                </c:pt>
              </c:numCache>
            </c:numRef>
          </c:val>
        </c:ser>
        <c:ser>
          <c:idx val="2"/>
          <c:order val="2"/>
          <c:tx>
            <c:strRef>
              <c:f>'Graphs&amp;Analysis'!$C$17</c:f>
              <c:strCache>
                <c:ptCount val="1"/>
                <c:pt idx="0">
                  <c:v> Transport Category 3 </c:v>
                </c:pt>
              </c:strCache>
            </c:strRef>
          </c:tx>
          <c:spPr>
            <a:solidFill>
              <a:srgbClr val="FFFFCC"/>
            </a:solidFill>
            <a:ln w="12700">
              <a:solidFill>
                <a:srgbClr val="000000"/>
              </a:solidFill>
              <a:prstDash val="solid"/>
            </a:ln>
          </c:spPr>
          <c:dLbls>
            <c:dLbl>
              <c:idx val="1"/>
              <c:layout>
                <c:manualLayout>
                  <c:xMode val="edge"/>
                  <c:yMode val="edge"/>
                  <c:x val="0.89522139176437532"/>
                  <c:y val="0.73184457359213184"/>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'Graphs&amp;Analysis'!$P$17:$Q$17</c:f>
              <c:numCache>
                <c:formatCode>0%</c:formatCode>
                <c:ptCount val="2"/>
                <c:pt idx="0" formatCode="_-* #,##0_-;\-* #,##0_-;_-* &quot;-&quot;??_-;_-@_-">
                  <c:v>0</c:v>
                </c:pt>
                <c:pt idx="1">
                  <c:v>0</c:v>
                </c:pt>
              </c:numCache>
            </c:numRef>
          </c:val>
        </c:ser>
        <c:ser>
          <c:idx val="3"/>
          <c:order val="3"/>
          <c:tx>
            <c:strRef>
              <c:f>'Graphs&amp;Analysis'!$C$18</c:f>
              <c:strCache>
                <c:ptCount val="1"/>
                <c:pt idx="0">
                  <c:v> Transport Category 4 </c:v>
                </c:pt>
              </c:strCache>
            </c:strRef>
          </c:tx>
          <c:spPr>
            <a:solidFill>
              <a:srgbClr val="CCFFFF"/>
            </a:solidFill>
            <a:ln w="12700">
              <a:solidFill>
                <a:srgbClr val="000000"/>
              </a:solidFill>
              <a:prstDash val="solid"/>
            </a:ln>
          </c:spPr>
          <c:dLbls>
            <c:dLbl>
              <c:idx val="1"/>
              <c:layout>
                <c:manualLayout>
                  <c:xMode val="edge"/>
                  <c:yMode val="edge"/>
                  <c:x val="0.92279494592549571"/>
                  <c:y val="0.73184457359213184"/>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'Graphs&amp;Analysis'!$P$18:$Q$18</c:f>
              <c:numCache>
                <c:formatCode>0%</c:formatCode>
                <c:ptCount val="2"/>
                <c:pt idx="0" formatCode="_-* #,##0_-;\-* #,##0_-;_-* &quot;-&quot;??_-;_-@_-">
                  <c:v>0</c:v>
                </c:pt>
                <c:pt idx="1">
                  <c:v>0</c:v>
                </c:pt>
              </c:numCache>
            </c:numRef>
          </c:val>
        </c:ser>
        <c:ser>
          <c:idx val="5"/>
          <c:order val="4"/>
          <c:tx>
            <c:strRef>
              <c:f>'Graphs&amp;Analysis'!$C$19</c:f>
              <c:strCache>
                <c:ptCount val="1"/>
                <c:pt idx="0">
                  <c:v> Transport Category 5 </c:v>
                </c:pt>
              </c:strCache>
            </c:strRef>
          </c:tx>
          <c:spPr>
            <a:solidFill>
              <a:srgbClr val="000080"/>
            </a:solidFill>
            <a:ln w="12700">
              <a:solidFill>
                <a:srgbClr val="000000"/>
              </a:solidFill>
              <a:prstDash val="solid"/>
            </a:ln>
          </c:spPr>
          <c:dLbls>
            <c:dLbl>
              <c:idx val="1"/>
              <c:layout>
                <c:manualLayout>
                  <c:xMode val="edge"/>
                  <c:yMode val="edge"/>
                  <c:x val="0.90073610259659942"/>
                  <c:y val="0.74301777318895823"/>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'Graphs&amp;Analysis'!$P$19:$Q$19</c:f>
              <c:numCache>
                <c:formatCode>0%</c:formatCode>
                <c:ptCount val="2"/>
                <c:pt idx="0" formatCode="_-* #,##0_-;\-* #,##0_-;_-* &quot;-&quot;??_-;_-@_-">
                  <c:v>0</c:v>
                </c:pt>
                <c:pt idx="1">
                  <c:v>0</c:v>
                </c:pt>
              </c:numCache>
            </c:numRef>
          </c:val>
        </c:ser>
        <c:ser>
          <c:idx val="4"/>
          <c:order val="5"/>
          <c:tx>
            <c:strRef>
              <c:f>'Graphs&amp;Analysis'!$C$20</c:f>
              <c:strCache>
                <c:ptCount val="1"/>
                <c:pt idx="0">
                  <c:v> Transport Category 6 </c:v>
                </c:pt>
              </c:strCache>
            </c:strRef>
          </c:tx>
          <c:spPr>
            <a:solidFill>
              <a:srgbClr val="660066"/>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'Graphs&amp;Analysis'!$P$20:$Q$20</c:f>
              <c:numCache>
                <c:formatCode>0%</c:formatCode>
                <c:ptCount val="2"/>
                <c:pt idx="0" formatCode="_-* #,##0_-;\-* #,##0_-;_-* &quot;-&quot;??_-;_-@_-">
                  <c:v>0</c:v>
                </c:pt>
                <c:pt idx="1">
                  <c:v>0</c:v>
                </c:pt>
              </c:numCache>
            </c:numRef>
          </c:val>
        </c:ser>
        <c:ser>
          <c:idx val="7"/>
          <c:order val="6"/>
          <c:tx>
            <c:strRef>
              <c:f>'Graphs&amp;Analysis'!$C$21</c:f>
              <c:strCache>
                <c:ptCount val="1"/>
                <c:pt idx="0">
                  <c:v> Transport Category 7 </c:v>
                </c:pt>
              </c:strCache>
            </c:strRef>
          </c:tx>
          <c:spPr>
            <a:solidFill>
              <a:srgbClr val="CC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'Graphs&amp;Analysis'!$P$21:$Q$21</c:f>
              <c:numCache>
                <c:formatCode>0%</c:formatCode>
                <c:ptCount val="2"/>
                <c:pt idx="0" formatCode="_-* #,##0_-;\-* #,##0_-;_-* &quot;-&quot;??_-;_-@_-">
                  <c:v>0</c:v>
                </c:pt>
                <c:pt idx="1">
                  <c:v>0</c:v>
                </c:pt>
              </c:numCache>
            </c:numRef>
          </c:val>
        </c:ser>
        <c:dLbls>
          <c:showVal val="1"/>
        </c:dLbls>
        <c:axId val="112656768"/>
        <c:axId val="112658304"/>
      </c:areaChart>
      <c:catAx>
        <c:axId val="11265676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658304"/>
        <c:crosses val="autoZero"/>
        <c:auto val="1"/>
        <c:lblAlgn val="ctr"/>
        <c:lblOffset val="100"/>
        <c:tickLblSkip val="1"/>
        <c:tickMarkSkip val="1"/>
      </c:catAx>
      <c:valAx>
        <c:axId val="11265830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656768"/>
        <c:crosses val="autoZero"/>
        <c:crossBetween val="midCat"/>
      </c:valAx>
      <c:spPr>
        <a:solidFill>
          <a:srgbClr val="C0C0C0"/>
        </a:solidFill>
        <a:ln w="12700">
          <a:solidFill>
            <a:srgbClr val="808080"/>
          </a:solidFill>
          <a:prstDash val="solid"/>
        </a:ln>
      </c:spPr>
    </c:plotArea>
    <c:legend>
      <c:legendPos val="b"/>
      <c:layout>
        <c:manualLayout>
          <c:xMode val="edge"/>
          <c:yMode val="edge"/>
          <c:x val="1.2867658608522849E-2"/>
          <c:y val="0.86033636895563592"/>
          <c:w val="0.9742655803595871"/>
          <c:h val="0.12011189566588423"/>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50" b="1" i="0" u="none" strike="noStrike" baseline="0">
                <a:solidFill>
                  <a:srgbClr val="000000"/>
                </a:solidFill>
                <a:latin typeface="Arial"/>
                <a:ea typeface="Arial"/>
                <a:cs typeface="Arial"/>
              </a:defRPr>
            </a:pPr>
            <a:r>
              <a:t>Transport emission reductions</a:t>
            </a:r>
          </a:p>
        </c:rich>
      </c:tx>
      <c:layout>
        <c:manualLayout>
          <c:xMode val="edge"/>
          <c:yMode val="edge"/>
          <c:x val="0.33458677325648095"/>
          <c:y val="4.1841004184100417E-2"/>
        </c:manualLayout>
      </c:layout>
      <c:spPr>
        <a:noFill/>
        <a:ln w="25400">
          <a:noFill/>
        </a:ln>
      </c:spPr>
    </c:title>
    <c:plotArea>
      <c:layout>
        <c:manualLayout>
          <c:layoutTarget val="inner"/>
          <c:xMode val="edge"/>
          <c:yMode val="edge"/>
          <c:x val="0.2349626216688771"/>
          <c:y val="0.30125523012552302"/>
          <c:w val="0.71240666890003534"/>
          <c:h val="0.45188284518828453"/>
        </c:manualLayout>
      </c:layout>
      <c:barChart>
        <c:barDir val="bar"/>
        <c:grouping val="stacked"/>
        <c:ser>
          <c:idx val="0"/>
          <c:order val="0"/>
          <c:tx>
            <c:strRef>
              <c:f>'Graphs&amp;Analysis'!$C$15</c:f>
              <c:strCache>
                <c:ptCount val="1"/>
                <c:pt idx="0">
                  <c:v> Transport Category 1 </c:v>
                </c:pt>
              </c:strCache>
            </c:strRef>
          </c:tx>
          <c:spPr>
            <a:solidFill>
              <a:srgbClr val="9999FF"/>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'Graphs&amp;Analysis'!$D$15:$E$15</c:f>
              <c:numCache>
                <c:formatCode>_-* #,##0_-;\-* #,##0_-;_-* "-"??_-;_-@_-</c:formatCode>
                <c:ptCount val="2"/>
                <c:pt idx="0">
                  <c:v>0</c:v>
                </c:pt>
                <c:pt idx="1">
                  <c:v>0</c:v>
                </c:pt>
              </c:numCache>
            </c:numRef>
          </c:val>
        </c:ser>
        <c:ser>
          <c:idx val="1"/>
          <c:order val="1"/>
          <c:tx>
            <c:strRef>
              <c:f>'Graphs&amp;Analysis'!$C$16</c:f>
              <c:strCache>
                <c:ptCount val="1"/>
                <c:pt idx="0">
                  <c:v> business Air </c:v>
                </c:pt>
              </c:strCache>
            </c:strRef>
          </c:tx>
          <c:spPr>
            <a:solidFill>
              <a:srgbClr val="993366"/>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'Graphs&amp;Analysis'!$D$16:$E$16</c:f>
              <c:numCache>
                <c:formatCode>_-* #,##0_-;\-* #,##0_-;_-* "-"??_-;_-@_-</c:formatCode>
                <c:ptCount val="2"/>
                <c:pt idx="0">
                  <c:v>0</c:v>
                </c:pt>
                <c:pt idx="1">
                  <c:v>0</c:v>
                </c:pt>
              </c:numCache>
            </c:numRef>
          </c:val>
        </c:ser>
        <c:ser>
          <c:idx val="2"/>
          <c:order val="2"/>
          <c:tx>
            <c:strRef>
              <c:f>'Graphs&amp;Analysis'!$C$17</c:f>
              <c:strCache>
                <c:ptCount val="1"/>
                <c:pt idx="0">
                  <c:v> Transport Category 3 </c:v>
                </c:pt>
              </c:strCache>
            </c:strRef>
          </c:tx>
          <c:spPr>
            <a:solidFill>
              <a:srgbClr val="FFFFCC"/>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'Graphs&amp;Analysis'!$D$17:$E$17</c:f>
              <c:numCache>
                <c:formatCode>_-* #,##0_-;\-* #,##0_-;_-* "-"??_-;_-@_-</c:formatCode>
                <c:ptCount val="2"/>
                <c:pt idx="0">
                  <c:v>0</c:v>
                </c:pt>
                <c:pt idx="1">
                  <c:v>0</c:v>
                </c:pt>
              </c:numCache>
            </c:numRef>
          </c:val>
        </c:ser>
        <c:ser>
          <c:idx val="3"/>
          <c:order val="3"/>
          <c:tx>
            <c:strRef>
              <c:f>'Graphs&amp;Analysis'!$C$18</c:f>
              <c:strCache>
                <c:ptCount val="1"/>
                <c:pt idx="0">
                  <c:v> Transport Category 4 </c:v>
                </c:pt>
              </c:strCache>
            </c:strRef>
          </c:tx>
          <c:spPr>
            <a:solidFill>
              <a:srgbClr val="CCFFFF"/>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'Graphs&amp;Analysis'!$D$18:$E$18</c:f>
              <c:numCache>
                <c:formatCode>_-* #,##0_-;\-* #,##0_-;_-* "-"??_-;_-@_-</c:formatCode>
                <c:ptCount val="2"/>
                <c:pt idx="0">
                  <c:v>0</c:v>
                </c:pt>
                <c:pt idx="1">
                  <c:v>0</c:v>
                </c:pt>
              </c:numCache>
            </c:numRef>
          </c:val>
        </c:ser>
        <c:ser>
          <c:idx val="4"/>
          <c:order val="4"/>
          <c:tx>
            <c:strRef>
              <c:f>'Graphs&amp;Analysis'!$C$19</c:f>
              <c:strCache>
                <c:ptCount val="1"/>
                <c:pt idx="0">
                  <c:v> Transport Category 5 </c:v>
                </c:pt>
              </c:strCache>
            </c:strRef>
          </c:tx>
          <c:spPr>
            <a:solidFill>
              <a:srgbClr val="660066"/>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'Graphs&amp;Analysis'!$D$19:$E$19</c:f>
              <c:numCache>
                <c:formatCode>_-* #,##0_-;\-* #,##0_-;_-* "-"??_-;_-@_-</c:formatCode>
                <c:ptCount val="2"/>
                <c:pt idx="0">
                  <c:v>0</c:v>
                </c:pt>
                <c:pt idx="1">
                  <c:v>0</c:v>
                </c:pt>
              </c:numCache>
            </c:numRef>
          </c:val>
        </c:ser>
        <c:ser>
          <c:idx val="5"/>
          <c:order val="5"/>
          <c:tx>
            <c:strRef>
              <c:f>'Graphs&amp;Analysis'!$C$20</c:f>
              <c:strCache>
                <c:ptCount val="1"/>
                <c:pt idx="0">
                  <c:v> Transport Category 6 </c:v>
                </c:pt>
              </c:strCache>
            </c:strRef>
          </c:tx>
          <c:spPr>
            <a:solidFill>
              <a:srgbClr val="FF8080"/>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'Graphs&amp;Analysis'!$D$20:$E$20</c:f>
              <c:numCache>
                <c:formatCode>_-* #,##0_-;\-* #,##0_-;_-* "-"??_-;_-@_-</c:formatCode>
                <c:ptCount val="2"/>
                <c:pt idx="0">
                  <c:v>0</c:v>
                </c:pt>
                <c:pt idx="1">
                  <c:v>0</c:v>
                </c:pt>
              </c:numCache>
            </c:numRef>
          </c:val>
        </c:ser>
        <c:ser>
          <c:idx val="6"/>
          <c:order val="6"/>
          <c:tx>
            <c:strRef>
              <c:f>'Graphs&amp;Analysis'!$C$21</c:f>
              <c:strCache>
                <c:ptCount val="1"/>
                <c:pt idx="0">
                  <c:v> Transport Category 7 </c:v>
                </c:pt>
              </c:strCache>
            </c:strRef>
          </c:tx>
          <c:spPr>
            <a:solidFill>
              <a:srgbClr val="0066CC"/>
            </a:solidFill>
            <a:ln w="12700">
              <a:solidFill>
                <a:srgbClr val="000000"/>
              </a:solidFill>
              <a:prstDash val="solid"/>
            </a:ln>
          </c:spPr>
          <c:cat>
            <c:strRef>
              <c:f>'Graphs&amp;Analysis'!$D$7:$E$7</c:f>
              <c:strCache>
                <c:ptCount val="2"/>
                <c:pt idx="0">
                  <c:v>Baseline emissions (tCO2/yr)</c:v>
                </c:pt>
                <c:pt idx="1">
                  <c:v>Remaining emissions (tCO2/yr)</c:v>
                </c:pt>
              </c:strCache>
            </c:strRef>
          </c:cat>
          <c:val>
            <c:numRef>
              <c:f>'Graphs&amp;Analysis'!$D$21:$E$21</c:f>
              <c:numCache>
                <c:formatCode>_-* #,##0_-;\-* #,##0_-;_-* "-"??_-;_-@_-</c:formatCode>
                <c:ptCount val="2"/>
                <c:pt idx="0">
                  <c:v>0</c:v>
                </c:pt>
                <c:pt idx="1">
                  <c:v>0</c:v>
                </c:pt>
              </c:numCache>
            </c:numRef>
          </c:val>
        </c:ser>
        <c:gapWidth val="100"/>
        <c:overlap val="100"/>
        <c:serLines>
          <c:spPr>
            <a:ln w="3175">
              <a:solidFill>
                <a:srgbClr val="000000"/>
              </a:solidFill>
              <a:prstDash val="solid"/>
            </a:ln>
          </c:spPr>
        </c:serLines>
        <c:axId val="112712320"/>
        <c:axId val="112718208"/>
      </c:barChart>
      <c:catAx>
        <c:axId val="112712320"/>
        <c:scaling>
          <c:orientation val="maxMin"/>
        </c:scaling>
        <c:axPos val="l"/>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718208"/>
        <c:crosses val="autoZero"/>
        <c:auto val="1"/>
        <c:lblAlgn val="ctr"/>
        <c:lblOffset val="100"/>
        <c:tickLblSkip val="1"/>
        <c:tickMarkSkip val="1"/>
      </c:catAx>
      <c:valAx>
        <c:axId val="112718208"/>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712320"/>
        <c:crosses val="autoZero"/>
        <c:crossBetween val="between"/>
      </c:valAx>
      <c:spPr>
        <a:solidFill>
          <a:srgbClr val="C0C0C0"/>
        </a:solidFill>
        <a:ln w="12700">
          <a:solidFill>
            <a:srgbClr val="808080"/>
          </a:solidFill>
          <a:prstDash val="solid"/>
        </a:ln>
      </c:spPr>
    </c:plotArea>
    <c:legend>
      <c:legendPos val="b"/>
      <c:layout>
        <c:manualLayout>
          <c:xMode val="edge"/>
          <c:yMode val="edge"/>
          <c:x val="5.4511328227179488E-2"/>
          <c:y val="0.79916317991631802"/>
          <c:w val="0.89097826136838187"/>
          <c:h val="0.17154811715481172"/>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t>Transport emission reductions</a:t>
            </a:r>
          </a:p>
        </c:rich>
      </c:tx>
      <c:layout>
        <c:manualLayout>
          <c:xMode val="edge"/>
          <c:yMode val="edge"/>
          <c:x val="0.33823559770974349"/>
          <c:y val="4.1841004184100417E-2"/>
        </c:manualLayout>
      </c:layout>
      <c:spPr>
        <a:noFill/>
        <a:ln w="25400">
          <a:noFill/>
        </a:ln>
      </c:spPr>
    </c:title>
    <c:plotArea>
      <c:layout>
        <c:manualLayout>
          <c:layoutTarget val="inner"/>
          <c:xMode val="edge"/>
          <c:yMode val="edge"/>
          <c:x val="0.22977961800933661"/>
          <c:y val="0.30125523012552302"/>
          <c:w val="0.71875064513320486"/>
          <c:h val="0.45188284518828453"/>
        </c:manualLayout>
      </c:layout>
      <c:barChart>
        <c:barDir val="bar"/>
        <c:grouping val="stacked"/>
        <c:ser>
          <c:idx val="0"/>
          <c:order val="0"/>
          <c:tx>
            <c:strRef>
              <c:f>'Graphs&amp;Analysis'!$L$15</c:f>
              <c:strCache>
                <c:ptCount val="1"/>
                <c:pt idx="0">
                  <c:v> Transport Category 1 </c:v>
                </c:pt>
              </c:strCache>
            </c:strRef>
          </c:tx>
          <c:spPr>
            <a:solidFill>
              <a:srgbClr val="9999FF"/>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'Graphs&amp;Analysis'!$M$15:$N$15</c:f>
              <c:numCache>
                <c:formatCode>_-* #,##0_-;\-* #,##0_-;_-* "-"??_-;_-@_-</c:formatCode>
                <c:ptCount val="2"/>
                <c:pt idx="0">
                  <c:v>0</c:v>
                </c:pt>
                <c:pt idx="1">
                  <c:v>0</c:v>
                </c:pt>
              </c:numCache>
            </c:numRef>
          </c:val>
        </c:ser>
        <c:ser>
          <c:idx val="1"/>
          <c:order val="1"/>
          <c:tx>
            <c:strRef>
              <c:f>'Graphs&amp;Analysis'!$L$16</c:f>
              <c:strCache>
                <c:ptCount val="1"/>
                <c:pt idx="0">
                  <c:v> business Air </c:v>
                </c:pt>
              </c:strCache>
            </c:strRef>
          </c:tx>
          <c:spPr>
            <a:solidFill>
              <a:srgbClr val="993366"/>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'Graphs&amp;Analysis'!$M$16:$N$16</c:f>
              <c:numCache>
                <c:formatCode>_-* #,##0_-;\-* #,##0_-;_-* "-"??_-;_-@_-</c:formatCode>
                <c:ptCount val="2"/>
                <c:pt idx="0">
                  <c:v>0</c:v>
                </c:pt>
                <c:pt idx="1">
                  <c:v>0</c:v>
                </c:pt>
              </c:numCache>
            </c:numRef>
          </c:val>
        </c:ser>
        <c:ser>
          <c:idx val="2"/>
          <c:order val="2"/>
          <c:tx>
            <c:strRef>
              <c:f>'Graphs&amp;Analysis'!$L$17</c:f>
              <c:strCache>
                <c:ptCount val="1"/>
                <c:pt idx="0">
                  <c:v> Transport Category 3 </c:v>
                </c:pt>
              </c:strCache>
            </c:strRef>
          </c:tx>
          <c:spPr>
            <a:solidFill>
              <a:srgbClr val="FFFFCC"/>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'Graphs&amp;Analysis'!$M$17:$N$17</c:f>
              <c:numCache>
                <c:formatCode>_-* #,##0_-;\-* #,##0_-;_-* "-"??_-;_-@_-</c:formatCode>
                <c:ptCount val="2"/>
                <c:pt idx="0">
                  <c:v>0</c:v>
                </c:pt>
                <c:pt idx="1">
                  <c:v>0</c:v>
                </c:pt>
              </c:numCache>
            </c:numRef>
          </c:val>
        </c:ser>
        <c:ser>
          <c:idx val="3"/>
          <c:order val="3"/>
          <c:tx>
            <c:strRef>
              <c:f>'Graphs&amp;Analysis'!$L$18</c:f>
              <c:strCache>
                <c:ptCount val="1"/>
                <c:pt idx="0">
                  <c:v> Transport Category 4 </c:v>
                </c:pt>
              </c:strCache>
            </c:strRef>
          </c:tx>
          <c:spPr>
            <a:solidFill>
              <a:srgbClr val="CCFFFF"/>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'Graphs&amp;Analysis'!$M$18:$N$18</c:f>
              <c:numCache>
                <c:formatCode>_-* #,##0_-;\-* #,##0_-;_-* "-"??_-;_-@_-</c:formatCode>
                <c:ptCount val="2"/>
                <c:pt idx="0">
                  <c:v>0</c:v>
                </c:pt>
                <c:pt idx="1">
                  <c:v>0</c:v>
                </c:pt>
              </c:numCache>
            </c:numRef>
          </c:val>
        </c:ser>
        <c:ser>
          <c:idx val="4"/>
          <c:order val="4"/>
          <c:tx>
            <c:strRef>
              <c:f>'Graphs&amp;Analysis'!$L$19</c:f>
              <c:strCache>
                <c:ptCount val="1"/>
                <c:pt idx="0">
                  <c:v> Transport Category 5 </c:v>
                </c:pt>
              </c:strCache>
            </c:strRef>
          </c:tx>
          <c:spPr>
            <a:solidFill>
              <a:srgbClr val="660066"/>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'Graphs&amp;Analysis'!$M$19:$N$19</c:f>
              <c:numCache>
                <c:formatCode>_-* #,##0_-;\-* #,##0_-;_-* "-"??_-;_-@_-</c:formatCode>
                <c:ptCount val="2"/>
                <c:pt idx="0">
                  <c:v>0</c:v>
                </c:pt>
                <c:pt idx="1">
                  <c:v>0</c:v>
                </c:pt>
              </c:numCache>
            </c:numRef>
          </c:val>
        </c:ser>
        <c:ser>
          <c:idx val="5"/>
          <c:order val="5"/>
          <c:tx>
            <c:strRef>
              <c:f>'Graphs&amp;Analysis'!$L$20</c:f>
              <c:strCache>
                <c:ptCount val="1"/>
                <c:pt idx="0">
                  <c:v> Transport Category 6 </c:v>
                </c:pt>
              </c:strCache>
            </c:strRef>
          </c:tx>
          <c:spPr>
            <a:solidFill>
              <a:srgbClr val="FF8080"/>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'Graphs&amp;Analysis'!$M$20:$N$20</c:f>
              <c:numCache>
                <c:formatCode>_-* #,##0_-;\-* #,##0_-;_-* "-"??_-;_-@_-</c:formatCode>
                <c:ptCount val="2"/>
                <c:pt idx="0">
                  <c:v>0</c:v>
                </c:pt>
                <c:pt idx="1">
                  <c:v>0</c:v>
                </c:pt>
              </c:numCache>
            </c:numRef>
          </c:val>
        </c:ser>
        <c:ser>
          <c:idx val="6"/>
          <c:order val="6"/>
          <c:tx>
            <c:strRef>
              <c:f>'Graphs&amp;Analysis'!$L$21</c:f>
              <c:strCache>
                <c:ptCount val="1"/>
                <c:pt idx="0">
                  <c:v> Transport Category 7 </c:v>
                </c:pt>
              </c:strCache>
            </c:strRef>
          </c:tx>
          <c:spPr>
            <a:solidFill>
              <a:srgbClr val="0066CC"/>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'Graphs&amp;Analysis'!$M$21:$N$21</c:f>
              <c:numCache>
                <c:formatCode>_-* #,##0_-;\-* #,##0_-;_-* "-"??_-;_-@_-</c:formatCode>
                <c:ptCount val="2"/>
                <c:pt idx="0">
                  <c:v>0</c:v>
                </c:pt>
                <c:pt idx="1">
                  <c:v>0</c:v>
                </c:pt>
              </c:numCache>
            </c:numRef>
          </c:val>
        </c:ser>
        <c:gapWidth val="100"/>
        <c:overlap val="100"/>
        <c:serLines>
          <c:spPr>
            <a:ln w="3175">
              <a:solidFill>
                <a:srgbClr val="000000"/>
              </a:solidFill>
              <a:prstDash val="solid"/>
            </a:ln>
          </c:spPr>
        </c:serLines>
        <c:axId val="112776320"/>
        <c:axId val="112777856"/>
      </c:barChart>
      <c:catAx>
        <c:axId val="112776320"/>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777856"/>
        <c:crosses val="autoZero"/>
        <c:auto val="1"/>
        <c:lblAlgn val="ctr"/>
        <c:lblOffset val="100"/>
        <c:tickLblSkip val="1"/>
        <c:tickMarkSkip val="1"/>
      </c:catAx>
      <c:valAx>
        <c:axId val="112777856"/>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776320"/>
        <c:crosses val="autoZero"/>
        <c:crossBetween val="between"/>
      </c:valAx>
      <c:spPr>
        <a:solidFill>
          <a:srgbClr val="C0C0C0"/>
        </a:solidFill>
        <a:ln w="12700">
          <a:solidFill>
            <a:srgbClr val="808080"/>
          </a:solidFill>
          <a:prstDash val="solid"/>
        </a:ln>
      </c:spPr>
    </c:plotArea>
    <c:legend>
      <c:legendPos val="b"/>
      <c:layout>
        <c:manualLayout>
          <c:xMode val="edge"/>
          <c:yMode val="edge"/>
          <c:x val="6.433829304261425E-2"/>
          <c:y val="0.79916317991631802"/>
          <c:w val="0.87132431149140432"/>
          <c:h val="0.17154811715481172"/>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50" b="1" i="0" u="none" strike="noStrike" baseline="0">
                <a:solidFill>
                  <a:srgbClr val="000000"/>
                </a:solidFill>
                <a:latin typeface="Arial"/>
                <a:ea typeface="Arial"/>
                <a:cs typeface="Arial"/>
              </a:defRPr>
            </a:pPr>
            <a:r>
              <a:t>Wedges graph with buildings breakdown</a:t>
            </a:r>
          </a:p>
        </c:rich>
      </c:tx>
      <c:layout>
        <c:manualLayout>
          <c:xMode val="edge"/>
          <c:yMode val="edge"/>
          <c:x val="0.22787235881657328"/>
          <c:y val="3.3613537326946906E-2"/>
        </c:manualLayout>
      </c:layout>
      <c:spPr>
        <a:noFill/>
        <a:ln w="25400">
          <a:noFill/>
        </a:ln>
      </c:spPr>
    </c:title>
    <c:plotArea>
      <c:layout>
        <c:manualLayout>
          <c:layoutTarget val="inner"/>
          <c:xMode val="edge"/>
          <c:yMode val="edge"/>
          <c:x val="9.7928617012081082E-2"/>
          <c:y val="0.19047671151936579"/>
          <c:w val="0.86629161202994798"/>
          <c:h val="0.49860080368304577"/>
        </c:manualLayout>
      </c:layout>
      <c:areaChart>
        <c:grouping val="stacked"/>
        <c:ser>
          <c:idx val="0"/>
          <c:order val="0"/>
          <c:tx>
            <c:strRef>
              <c:f>'Graphs&amp;Analysis'!$C$8</c:f>
              <c:strCache>
                <c:ptCount val="1"/>
                <c:pt idx="0">
                  <c:v> halls </c:v>
                </c:pt>
              </c:strCache>
            </c:strRef>
          </c:tx>
          <c:spPr>
            <a:solidFill>
              <a:srgbClr val="9999FF"/>
            </a:solidFill>
            <a:ln w="12700">
              <a:solidFill>
                <a:srgbClr val="000000"/>
              </a:solidFill>
              <a:prstDash val="solid"/>
            </a:ln>
          </c:spPr>
          <c:dLbls>
            <c:dLbl>
              <c:idx val="1"/>
              <c:layout>
                <c:manualLayout>
                  <c:xMode val="edge"/>
                  <c:yMode val="edge"/>
                  <c:x val="0.9058397073617499"/>
                  <c:y val="0.47339065068783559"/>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'Graphs&amp;Analysis'!$G$8:$H$8</c:f>
              <c:numCache>
                <c:formatCode>0%</c:formatCode>
                <c:ptCount val="2"/>
                <c:pt idx="0" formatCode="_-* #,##0_-;\-* #,##0_-;_-* &quot;-&quot;??_-;_-@_-">
                  <c:v>0</c:v>
                </c:pt>
                <c:pt idx="1">
                  <c:v>0.10485830802190099</c:v>
                </c:pt>
              </c:numCache>
            </c:numRef>
          </c:val>
        </c:ser>
        <c:ser>
          <c:idx val="1"/>
          <c:order val="1"/>
          <c:tx>
            <c:strRef>
              <c:f>'Graphs&amp;Analysis'!$C$9</c:f>
              <c:strCache>
                <c:ptCount val="1"/>
                <c:pt idx="0">
                  <c:v> Buildings Category 2 </c:v>
                </c:pt>
              </c:strCache>
            </c:strRef>
          </c:tx>
          <c:spPr>
            <a:solidFill>
              <a:srgbClr val="993366"/>
            </a:solidFill>
            <a:ln w="12700">
              <a:solidFill>
                <a:srgbClr val="000000"/>
              </a:solidFill>
              <a:prstDash val="solid"/>
            </a:ln>
          </c:spPr>
          <c:dLbls>
            <c:dLbl>
              <c:idx val="1"/>
              <c:layout>
                <c:manualLayout>
                  <c:xMode val="edge"/>
                  <c:yMode val="edge"/>
                  <c:x val="0.8945402515526637"/>
                  <c:y val="0.26050491428383854"/>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'Graphs&amp;Analysis'!$G$9:$H$9</c:f>
              <c:numCache>
                <c:formatCode>0%</c:formatCode>
                <c:ptCount val="2"/>
                <c:pt idx="0" formatCode="_-* #,##0_-;\-* #,##0_-;_-* &quot;-&quot;??_-;_-@_-">
                  <c:v>0</c:v>
                </c:pt>
                <c:pt idx="1">
                  <c:v>1.960948026424578E-2</c:v>
                </c:pt>
              </c:numCache>
            </c:numRef>
          </c:val>
        </c:ser>
        <c:ser>
          <c:idx val="2"/>
          <c:order val="2"/>
          <c:tx>
            <c:strRef>
              <c:f>'Graphs&amp;Analysis'!$C$10</c:f>
              <c:strCache>
                <c:ptCount val="1"/>
                <c:pt idx="0">
                  <c:v> Buildings Category 3 </c:v>
                </c:pt>
              </c:strCache>
            </c:strRef>
          </c:tx>
          <c:spPr>
            <a:solidFill>
              <a:srgbClr val="FFFFCC"/>
            </a:solidFill>
            <a:ln w="12700">
              <a:solidFill>
                <a:srgbClr val="000000"/>
              </a:solidFill>
              <a:prstDash val="solid"/>
            </a:ln>
          </c:spPr>
          <c:dLbls>
            <c:dLbl>
              <c:idx val="1"/>
              <c:layout>
                <c:manualLayout>
                  <c:xMode val="edge"/>
                  <c:yMode val="edge"/>
                  <c:x val="0.89265700891781596"/>
                  <c:y val="0.22969250506747052"/>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'Graphs&amp;Analysis'!$G$10:$H$10</c:f>
              <c:numCache>
                <c:formatCode>0%</c:formatCode>
                <c:ptCount val="2"/>
                <c:pt idx="0" formatCode="_-* #,##0_-;\-* #,##0_-;_-* &quot;-&quot;??_-;_-@_-">
                  <c:v>0</c:v>
                </c:pt>
                <c:pt idx="1">
                  <c:v>0</c:v>
                </c:pt>
              </c:numCache>
            </c:numRef>
          </c:val>
        </c:ser>
        <c:ser>
          <c:idx val="3"/>
          <c:order val="3"/>
          <c:tx>
            <c:strRef>
              <c:f>'Graphs&amp;Analysis'!$C$11</c:f>
              <c:strCache>
                <c:ptCount val="1"/>
                <c:pt idx="0">
                  <c:v> Buildings Category 4 </c:v>
                </c:pt>
              </c:strCache>
            </c:strRef>
          </c:tx>
          <c:spPr>
            <a:solidFill>
              <a:srgbClr val="CCFFFF"/>
            </a:solidFill>
            <a:ln w="12700">
              <a:solidFill>
                <a:srgbClr val="000000"/>
              </a:solidFill>
              <a:prstDash val="solid"/>
            </a:ln>
          </c:spPr>
          <c:dLbls>
            <c:dLbl>
              <c:idx val="1"/>
              <c:layout>
                <c:manualLayout>
                  <c:xMode val="edge"/>
                  <c:yMode val="edge"/>
                  <c:x val="0.92278889107537931"/>
                  <c:y val="0.22969250506747052"/>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'Graphs&amp;Analysis'!$G$11:$H$11</c:f>
              <c:numCache>
                <c:formatCode>0%</c:formatCode>
                <c:ptCount val="2"/>
                <c:pt idx="0" formatCode="_-* #,##0_-;\-* #,##0_-;_-* &quot;-&quot;??_-;_-@_-">
                  <c:v>0</c:v>
                </c:pt>
                <c:pt idx="1">
                  <c:v>0</c:v>
                </c:pt>
              </c:numCache>
            </c:numRef>
          </c:val>
        </c:ser>
        <c:ser>
          <c:idx val="5"/>
          <c:order val="4"/>
          <c:tx>
            <c:strRef>
              <c:f>'Graphs&amp;Analysis'!$C$12</c:f>
              <c:strCache>
                <c:ptCount val="1"/>
                <c:pt idx="0">
                  <c:v> Buildings Category 5 </c:v>
                </c:pt>
              </c:strCache>
            </c:strRef>
          </c:tx>
          <c:spPr>
            <a:solidFill>
              <a:srgbClr val="000080"/>
            </a:solidFill>
            <a:ln w="12700">
              <a:solidFill>
                <a:srgbClr val="000000"/>
              </a:solidFill>
              <a:prstDash val="solid"/>
            </a:ln>
          </c:spPr>
          <c:dLbls>
            <c:dLbl>
              <c:idx val="1"/>
              <c:layout>
                <c:manualLayout>
                  <c:xMode val="edge"/>
                  <c:yMode val="edge"/>
                  <c:x val="0.89830673682235906"/>
                  <c:y val="0.24089701750978618"/>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'Graphs&amp;Analysis'!$G$12:$H$12</c:f>
              <c:numCache>
                <c:formatCode>0%</c:formatCode>
                <c:ptCount val="2"/>
                <c:pt idx="0" formatCode="_-* #,##0_-;\-* #,##0_-;_-* &quot;-&quot;??_-;_-@_-">
                  <c:v>0</c:v>
                </c:pt>
                <c:pt idx="1">
                  <c:v>0</c:v>
                </c:pt>
              </c:numCache>
            </c:numRef>
          </c:val>
        </c:ser>
        <c:ser>
          <c:idx val="4"/>
          <c:order val="5"/>
          <c:tx>
            <c:strRef>
              <c:f>'Graphs&amp;Analysis'!$C$13</c:f>
              <c:strCache>
                <c:ptCount val="1"/>
                <c:pt idx="0">
                  <c:v> Buildings Category 6 </c:v>
                </c:pt>
              </c:strCache>
            </c:strRef>
          </c:tx>
          <c:spPr>
            <a:solidFill>
              <a:srgbClr val="660066"/>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'Graphs&amp;Analysis'!$G$13:$H$13</c:f>
              <c:numCache>
                <c:formatCode>0%</c:formatCode>
                <c:ptCount val="2"/>
                <c:pt idx="0" formatCode="_-* #,##0_-;\-* #,##0_-;_-* &quot;-&quot;??_-;_-@_-">
                  <c:v>0</c:v>
                </c:pt>
                <c:pt idx="1">
                  <c:v>0</c:v>
                </c:pt>
              </c:numCache>
            </c:numRef>
          </c:val>
        </c:ser>
        <c:ser>
          <c:idx val="7"/>
          <c:order val="6"/>
          <c:tx>
            <c:strRef>
              <c:f>'Graphs&amp;Analysis'!$C$14</c:f>
              <c:strCache>
                <c:ptCount val="1"/>
                <c:pt idx="0">
                  <c:v> Buildings Category 7 </c:v>
                </c:pt>
              </c:strCache>
            </c:strRef>
          </c:tx>
          <c:spPr>
            <a:solidFill>
              <a:srgbClr val="CC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'Graphs&amp;Analysis'!$G$14:$H$14</c:f>
              <c:numCache>
                <c:formatCode>0%</c:formatCode>
                <c:ptCount val="2"/>
                <c:pt idx="0" formatCode="_-* #,##0_-;\-* #,##0_-;_-* &quot;-&quot;??_-;_-@_-">
                  <c:v>0</c:v>
                </c:pt>
                <c:pt idx="1">
                  <c:v>0</c:v>
                </c:pt>
              </c:numCache>
            </c:numRef>
          </c:val>
        </c:ser>
        <c:ser>
          <c:idx val="6"/>
          <c:order val="7"/>
          <c:tx>
            <c:strRef>
              <c:f>'Graphs&amp;Analysis'!$C$22</c:f>
              <c:strCache>
                <c:ptCount val="1"/>
                <c:pt idx="0">
                  <c:v>Renewables</c:v>
                </c:pt>
              </c:strCache>
            </c:strRef>
          </c:tx>
          <c:spPr>
            <a:solidFill>
              <a:srgbClr val="0066CC"/>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'Graphs&amp;Analysis'!$G$22:$H$22</c:f>
              <c:numCache>
                <c:formatCode>0%</c:formatCode>
                <c:ptCount val="2"/>
                <c:pt idx="0" formatCode="_-* #,##0_-;\-* #,##0_-;_-* &quot;-&quot;??_-;_-@_-">
                  <c:v>0</c:v>
                </c:pt>
                <c:pt idx="1">
                  <c:v>0</c:v>
                </c:pt>
              </c:numCache>
            </c:numRef>
          </c:val>
        </c:ser>
        <c:dLbls>
          <c:showVal val="1"/>
        </c:dLbls>
        <c:axId val="98992128"/>
        <c:axId val="98993664"/>
      </c:areaChart>
      <c:catAx>
        <c:axId val="9899212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8993664"/>
        <c:crosses val="autoZero"/>
        <c:auto val="1"/>
        <c:lblAlgn val="ctr"/>
        <c:lblOffset val="100"/>
        <c:tickLblSkip val="1"/>
        <c:tickMarkSkip val="1"/>
      </c:catAx>
      <c:valAx>
        <c:axId val="9899366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8992128"/>
        <c:crosses val="autoZero"/>
        <c:crossBetween val="midCat"/>
      </c:valAx>
      <c:spPr>
        <a:solidFill>
          <a:srgbClr val="C0C0C0"/>
        </a:solidFill>
        <a:ln w="12700">
          <a:solidFill>
            <a:srgbClr val="808080"/>
          </a:solidFill>
          <a:prstDash val="solid"/>
        </a:ln>
      </c:spPr>
    </c:plotArea>
    <c:legend>
      <c:legendPos val="b"/>
      <c:layout>
        <c:manualLayout>
          <c:xMode val="edge"/>
          <c:yMode val="edge"/>
          <c:x val="0.15819238132720789"/>
          <c:y val="0.80392376773614682"/>
          <c:w val="0.74388084076484662"/>
          <c:h val="0.17647107096647127"/>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50" b="1" i="0" u="none" strike="noStrike" baseline="0">
                <a:solidFill>
                  <a:srgbClr val="000000"/>
                </a:solidFill>
                <a:latin typeface="Arial"/>
                <a:ea typeface="Arial"/>
                <a:cs typeface="Arial"/>
              </a:defRPr>
            </a:pPr>
            <a:r>
              <a:t>Emission reductions</a:t>
            </a:r>
          </a:p>
        </c:rich>
      </c:tx>
      <c:layout>
        <c:manualLayout>
          <c:xMode val="edge"/>
          <c:yMode val="edge"/>
          <c:x val="0.38983122541347659"/>
          <c:y val="3.937007874015748E-2"/>
        </c:manualLayout>
      </c:layout>
      <c:spPr>
        <a:noFill/>
        <a:ln w="25400">
          <a:noFill/>
        </a:ln>
      </c:spPr>
    </c:title>
    <c:plotArea>
      <c:layout>
        <c:manualLayout>
          <c:layoutTarget val="inner"/>
          <c:xMode val="edge"/>
          <c:yMode val="edge"/>
          <c:x val="0.26365396887867981"/>
          <c:y val="0.26377952755905509"/>
          <c:w val="0.67796734854517671"/>
          <c:h val="0.57874015748031493"/>
        </c:manualLayout>
      </c:layout>
      <c:barChart>
        <c:barDir val="bar"/>
        <c:grouping val="stacked"/>
        <c:ser>
          <c:idx val="0"/>
          <c:order val="0"/>
          <c:tx>
            <c:strRef>
              <c:f>'Graphs&amp;Analysis'!$C$27</c:f>
              <c:strCache>
                <c:ptCount val="1"/>
                <c:pt idx="0">
                  <c:v>Buildings</c:v>
                </c:pt>
              </c:strCache>
            </c:strRef>
          </c:tx>
          <c:spPr>
            <a:solidFill>
              <a:srgbClr val="9999FF"/>
            </a:solidFill>
            <a:ln w="12700">
              <a:solidFill>
                <a:srgbClr val="000000"/>
              </a:solidFill>
              <a:prstDash val="solid"/>
            </a:ln>
          </c:spPr>
          <c:cat>
            <c:strRef>
              <c:f>'Graphs&amp;Analysis'!$D$26:$E$26</c:f>
              <c:strCache>
                <c:ptCount val="2"/>
                <c:pt idx="0">
                  <c:v>Baseline emissions (tCO2/yr)</c:v>
                </c:pt>
                <c:pt idx="1">
                  <c:v>Remaining emissions (tCO2/yr)</c:v>
                </c:pt>
              </c:strCache>
            </c:strRef>
          </c:cat>
          <c:val>
            <c:numRef>
              <c:f>'Graphs&amp;Analysis'!$D$27:$E$27</c:f>
              <c:numCache>
                <c:formatCode>_-* #,##0_-;\-* #,##0_-;_-* "-"??_-;_-@_-</c:formatCode>
                <c:ptCount val="2"/>
                <c:pt idx="0">
                  <c:v>15549.686546793002</c:v>
                </c:pt>
                <c:pt idx="1">
                  <c:v>13614.251453770825</c:v>
                </c:pt>
              </c:numCache>
            </c:numRef>
          </c:val>
        </c:ser>
        <c:ser>
          <c:idx val="1"/>
          <c:order val="1"/>
          <c:tx>
            <c:strRef>
              <c:f>'Graphs&amp;Analysis'!$C$28</c:f>
              <c:strCache>
                <c:ptCount val="1"/>
                <c:pt idx="0">
                  <c:v>Transport</c:v>
                </c:pt>
              </c:strCache>
            </c:strRef>
          </c:tx>
          <c:spPr>
            <a:solidFill>
              <a:srgbClr val="993366"/>
            </a:solidFill>
            <a:ln w="12700">
              <a:solidFill>
                <a:srgbClr val="000000"/>
              </a:solidFill>
              <a:prstDash val="solid"/>
            </a:ln>
          </c:spPr>
          <c:cat>
            <c:strRef>
              <c:f>'Graphs&amp;Analysis'!$D$26:$E$26</c:f>
              <c:strCache>
                <c:ptCount val="2"/>
                <c:pt idx="0">
                  <c:v>Baseline emissions (tCO2/yr)</c:v>
                </c:pt>
                <c:pt idx="1">
                  <c:v>Remaining emissions (tCO2/yr)</c:v>
                </c:pt>
              </c:strCache>
            </c:strRef>
          </c:cat>
          <c:val>
            <c:numRef>
              <c:f>'Graphs&amp;Analysis'!$D$28:$E$28</c:f>
              <c:numCache>
                <c:formatCode>_-* #,##0_-;\-* #,##0_-;_-* "-"??_-;_-@_-</c:formatCode>
                <c:ptCount val="2"/>
                <c:pt idx="0">
                  <c:v>0</c:v>
                </c:pt>
                <c:pt idx="1">
                  <c:v>0</c:v>
                </c:pt>
              </c:numCache>
            </c:numRef>
          </c:val>
        </c:ser>
        <c:ser>
          <c:idx val="3"/>
          <c:order val="2"/>
          <c:tx>
            <c:strRef>
              <c:f>'Graphs&amp;Analysis'!$C$30</c:f>
              <c:strCache>
                <c:ptCount val="1"/>
                <c:pt idx="0">
                  <c:v>Demand not considered </c:v>
                </c:pt>
              </c:strCache>
            </c:strRef>
          </c:tx>
          <c:spPr>
            <a:solidFill>
              <a:srgbClr val="CCFFFF"/>
            </a:solidFill>
            <a:ln w="12700">
              <a:solidFill>
                <a:srgbClr val="000000"/>
              </a:solidFill>
              <a:prstDash val="solid"/>
            </a:ln>
          </c:spPr>
          <c:val>
            <c:numRef>
              <c:f>'Graphs&amp;Analysis'!$D$30:$E$30</c:f>
              <c:numCache>
                <c:formatCode>_-* #,##0_-;\-* #,##0_-;_-* "-"??_-;_-@_-</c:formatCode>
                <c:ptCount val="2"/>
                <c:pt idx="0">
                  <c:v>0</c:v>
                </c:pt>
                <c:pt idx="1">
                  <c:v>0</c:v>
                </c:pt>
              </c:numCache>
            </c:numRef>
          </c:val>
        </c:ser>
        <c:gapWidth val="100"/>
        <c:overlap val="100"/>
        <c:serLines>
          <c:spPr>
            <a:ln w="3175">
              <a:solidFill>
                <a:srgbClr val="000000"/>
              </a:solidFill>
              <a:prstDash val="solid"/>
            </a:ln>
          </c:spPr>
        </c:serLines>
        <c:axId val="99036160"/>
        <c:axId val="99050240"/>
      </c:barChart>
      <c:catAx>
        <c:axId val="99036160"/>
        <c:scaling>
          <c:orientation val="maxMin"/>
        </c:scaling>
        <c:axPos val="l"/>
        <c:numFmt formatCode="General" sourceLinked="1"/>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99050240"/>
        <c:crosses val="autoZero"/>
        <c:auto val="1"/>
        <c:lblAlgn val="ctr"/>
        <c:lblOffset val="100"/>
        <c:tickLblSkip val="1"/>
        <c:tickMarkSkip val="1"/>
      </c:catAx>
      <c:valAx>
        <c:axId val="99050240"/>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99036160"/>
        <c:crosses val="autoZero"/>
        <c:crossBetween val="between"/>
      </c:valAx>
      <c:spPr>
        <a:solidFill>
          <a:srgbClr val="C0C0C0"/>
        </a:solidFill>
        <a:ln w="12700">
          <a:solidFill>
            <a:srgbClr val="808080"/>
          </a:solidFill>
          <a:prstDash val="solid"/>
        </a:ln>
      </c:spPr>
    </c:plotArea>
    <c:legend>
      <c:legendPos val="b"/>
      <c:layout>
        <c:manualLayout>
          <c:xMode val="edge"/>
          <c:yMode val="edge"/>
          <c:x val="0.36911555643015176"/>
          <c:y val="0.88582677165354329"/>
          <c:w val="0.48399335715586222"/>
          <c:h val="8.6614173228346455E-2"/>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50" b="1" i="0" u="none" strike="noStrike" baseline="0">
                <a:solidFill>
                  <a:srgbClr val="000000"/>
                </a:solidFill>
                <a:latin typeface="Arial"/>
                <a:ea typeface="Arial"/>
                <a:cs typeface="Arial"/>
              </a:defRPr>
            </a:pPr>
            <a:r>
              <a:t>Wedges graph</a:t>
            </a:r>
          </a:p>
        </c:rich>
      </c:tx>
      <c:layout>
        <c:manualLayout>
          <c:xMode val="edge"/>
          <c:yMode val="edge"/>
          <c:x val="0.40113068122256285"/>
          <c:y val="3.5294168333766564E-2"/>
        </c:manualLayout>
      </c:layout>
      <c:spPr>
        <a:noFill/>
        <a:ln w="25400">
          <a:noFill/>
        </a:ln>
      </c:spPr>
    </c:title>
    <c:plotArea>
      <c:layout>
        <c:manualLayout>
          <c:layoutTarget val="inner"/>
          <c:xMode val="edge"/>
          <c:yMode val="edge"/>
          <c:x val="8.8512403837842507E-2"/>
          <c:y val="0.1941179258357161"/>
          <c:w val="0.87570782520418655"/>
          <c:h val="0.60882440375747326"/>
        </c:manualLayout>
      </c:layout>
      <c:areaChart>
        <c:grouping val="stacked"/>
        <c:ser>
          <c:idx val="0"/>
          <c:order val="0"/>
          <c:tx>
            <c:strRef>
              <c:f>'Graphs&amp;Analysis'!$C$27</c:f>
              <c:strCache>
                <c:ptCount val="1"/>
                <c:pt idx="0">
                  <c:v>Buildings</c:v>
                </c:pt>
              </c:strCache>
            </c:strRef>
          </c:tx>
          <c:spPr>
            <a:solidFill>
              <a:srgbClr val="9999FF"/>
            </a:solidFill>
            <a:ln w="12700">
              <a:solidFill>
                <a:srgbClr val="000000"/>
              </a:solidFill>
              <a:prstDash val="solid"/>
            </a:ln>
          </c:spPr>
          <c:dLbls>
            <c:dLbl>
              <c:idx val="1"/>
              <c:layout>
                <c:manualLayout>
                  <c:xMode val="edge"/>
                  <c:yMode val="edge"/>
                  <c:x val="0.9058397073617499"/>
                  <c:y val="0.50000071806169299"/>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'Graphs&amp;Analysis'!$G$27:$H$27</c:f>
              <c:numCache>
                <c:formatCode>0%</c:formatCode>
                <c:ptCount val="2"/>
                <c:pt idx="0" formatCode="_-* #,##0_-;\-* #,##0_-;_-* &quot;-&quot;??_-;_-@_-">
                  <c:v>0</c:v>
                </c:pt>
                <c:pt idx="1">
                  <c:v>0.12446778828614678</c:v>
                </c:pt>
              </c:numCache>
            </c:numRef>
          </c:val>
        </c:ser>
        <c:ser>
          <c:idx val="1"/>
          <c:order val="1"/>
          <c:tx>
            <c:strRef>
              <c:f>'Graphs&amp;Analysis'!$C$28</c:f>
              <c:strCache>
                <c:ptCount val="1"/>
                <c:pt idx="0">
                  <c:v>Transport</c:v>
                </c:pt>
              </c:strCache>
            </c:strRef>
          </c:tx>
          <c:spPr>
            <a:solidFill>
              <a:srgbClr val="993366"/>
            </a:solidFill>
            <a:ln w="12700">
              <a:solidFill>
                <a:srgbClr val="000000"/>
              </a:solidFill>
              <a:prstDash val="solid"/>
            </a:ln>
          </c:spPr>
          <c:dLbls>
            <c:dLbl>
              <c:idx val="1"/>
              <c:layout>
                <c:manualLayout>
                  <c:xMode val="edge"/>
                  <c:yMode val="edge"/>
                  <c:x val="0.8945402515526637"/>
                  <c:y val="0.24117681694740487"/>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'Graphs&amp;Analysis'!$G$28:$H$28</c:f>
              <c:numCache>
                <c:formatCode>0%</c:formatCode>
                <c:ptCount val="2"/>
                <c:pt idx="0" formatCode="_-* #,##0_-;\-* #,##0_-;_-* &quot;-&quot;??_-;_-@_-">
                  <c:v>0</c:v>
                </c:pt>
                <c:pt idx="1">
                  <c:v>0</c:v>
                </c:pt>
              </c:numCache>
            </c:numRef>
          </c:val>
        </c:ser>
        <c:ser>
          <c:idx val="3"/>
          <c:order val="2"/>
          <c:tx>
            <c:strRef>
              <c:f>'Graphs&amp;Analysis'!$C$29</c:f>
              <c:strCache>
                <c:ptCount val="1"/>
                <c:pt idx="0">
                  <c:v>Renewables</c:v>
                </c:pt>
              </c:strCache>
            </c:strRef>
          </c:tx>
          <c:spPr>
            <a:solidFill>
              <a:srgbClr val="CCFFFF"/>
            </a:solidFill>
            <a:ln w="12700">
              <a:solidFill>
                <a:srgbClr val="000000"/>
              </a:solidFill>
              <a:prstDash val="solid"/>
            </a:ln>
          </c:spPr>
          <c:dLbls>
            <c:dLbl>
              <c:idx val="1"/>
              <c:layout>
                <c:manualLayout>
                  <c:xMode val="edge"/>
                  <c:yMode val="edge"/>
                  <c:x val="0.92278889107537931"/>
                  <c:y val="0.24705917833636595"/>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'Graphs&amp;Analysis'!$G$29:$H$29</c:f>
              <c:numCache>
                <c:formatCode>0%</c:formatCode>
                <c:ptCount val="2"/>
                <c:pt idx="0" formatCode="_-* #,##0_-;\-* #,##0_-;_-* &quot;-&quot;??_-;_-@_-">
                  <c:v>0</c:v>
                </c:pt>
                <c:pt idx="1">
                  <c:v>0</c:v>
                </c:pt>
              </c:numCache>
            </c:numRef>
          </c:val>
        </c:ser>
        <c:dLbls>
          <c:showVal val="1"/>
        </c:dLbls>
        <c:axId val="112144768"/>
        <c:axId val="112146304"/>
      </c:areaChart>
      <c:catAx>
        <c:axId val="112144768"/>
        <c:scaling>
          <c:orientation val="minMax"/>
        </c:scaling>
        <c:axPos val="b"/>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146304"/>
        <c:crosses val="autoZero"/>
        <c:auto val="1"/>
        <c:lblAlgn val="ctr"/>
        <c:lblOffset val="100"/>
        <c:tickLblSkip val="1"/>
        <c:tickMarkSkip val="1"/>
      </c:catAx>
      <c:valAx>
        <c:axId val="112146304"/>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144768"/>
        <c:crosses val="autoZero"/>
        <c:crossBetween val="midCat"/>
      </c:valAx>
      <c:spPr>
        <a:solidFill>
          <a:srgbClr val="C0C0C0"/>
        </a:solidFill>
        <a:ln w="12700">
          <a:solidFill>
            <a:srgbClr val="808080"/>
          </a:solidFill>
          <a:prstDash val="solid"/>
        </a:ln>
      </c:spPr>
    </c:plotArea>
    <c:legend>
      <c:legendPos val="b"/>
      <c:layout>
        <c:manualLayout>
          <c:xMode val="edge"/>
          <c:yMode val="edge"/>
          <c:x val="0.33710043163774062"/>
          <c:y val="0.91470719598345007"/>
          <c:w val="0.37853176960439033"/>
          <c:h val="6.4705975278572039E-2"/>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Arial"/>
                <a:ea typeface="Arial"/>
                <a:cs typeface="Arial"/>
              </a:defRPr>
            </a:pPr>
            <a:r>
              <a:t>Buildings emission reductions</a:t>
            </a:r>
          </a:p>
        </c:rich>
      </c:tx>
      <c:layout>
        <c:manualLayout>
          <c:xMode val="edge"/>
          <c:yMode val="edge"/>
          <c:x val="0.34254205251146069"/>
          <c:y val="4.2016892924626043E-2"/>
        </c:manualLayout>
      </c:layout>
      <c:spPr>
        <a:noFill/>
        <a:ln w="25400">
          <a:noFill/>
        </a:ln>
      </c:spPr>
    </c:title>
    <c:plotArea>
      <c:layout>
        <c:manualLayout>
          <c:layoutTarget val="inner"/>
          <c:xMode val="edge"/>
          <c:yMode val="edge"/>
          <c:x val="0.23020299227920746"/>
          <c:y val="0.30252162905730751"/>
          <c:w val="0.70350034440525799"/>
          <c:h val="0.44958075429349864"/>
        </c:manualLayout>
      </c:layout>
      <c:barChart>
        <c:barDir val="bar"/>
        <c:grouping val="stacked"/>
        <c:ser>
          <c:idx val="0"/>
          <c:order val="0"/>
          <c:tx>
            <c:strRef>
              <c:f>'Graphs&amp;Analysis'!$C$8</c:f>
              <c:strCache>
                <c:ptCount val="1"/>
                <c:pt idx="0">
                  <c:v> halls </c:v>
                </c:pt>
              </c:strCache>
            </c:strRef>
          </c:tx>
          <c:spPr>
            <a:solidFill>
              <a:srgbClr val="9999FF"/>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'Graphs&amp;Analysis'!$M$8:$N$8</c:f>
              <c:numCache>
                <c:formatCode>_-* #,##0_-;\-* #,##0_-;_-* "-"??_-;_-@_-</c:formatCode>
                <c:ptCount val="2"/>
                <c:pt idx="0">
                  <c:v>7150.5047067930009</c:v>
                </c:pt>
                <c:pt idx="1">
                  <c:v>5519.9908852253702</c:v>
                </c:pt>
              </c:numCache>
            </c:numRef>
          </c:val>
        </c:ser>
        <c:ser>
          <c:idx val="1"/>
          <c:order val="1"/>
          <c:tx>
            <c:strRef>
              <c:f>'Graphs&amp;Analysis'!$C$9</c:f>
              <c:strCache>
                <c:ptCount val="1"/>
                <c:pt idx="0">
                  <c:v> Buildings Category 2 </c:v>
                </c:pt>
              </c:strCache>
            </c:strRef>
          </c:tx>
          <c:spPr>
            <a:solidFill>
              <a:srgbClr val="993366"/>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'Graphs&amp;Analysis'!$M$9:$N$9</c:f>
              <c:numCache>
                <c:formatCode>_-* #,##0_-;\-* #,##0_-;_-* "-"??_-;_-@_-</c:formatCode>
                <c:ptCount val="2"/>
                <c:pt idx="0">
                  <c:v>6300.9920000000002</c:v>
                </c:pt>
                <c:pt idx="1">
                  <c:v>5996.0707285454546</c:v>
                </c:pt>
              </c:numCache>
            </c:numRef>
          </c:val>
        </c:ser>
        <c:ser>
          <c:idx val="2"/>
          <c:order val="2"/>
          <c:tx>
            <c:strRef>
              <c:f>'Graphs&amp;Analysis'!$C$10</c:f>
              <c:strCache>
                <c:ptCount val="1"/>
                <c:pt idx="0">
                  <c:v> Buildings Category 3 </c:v>
                </c:pt>
              </c:strCache>
            </c:strRef>
          </c:tx>
          <c:spPr>
            <a:solidFill>
              <a:srgbClr val="FFFFCC"/>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'Graphs&amp;Analysis'!$M$10:$N$10</c:f>
              <c:numCache>
                <c:formatCode>_-* #,##0_-;\-* #,##0_-;_-* "-"??_-;_-@_-</c:formatCode>
                <c:ptCount val="2"/>
                <c:pt idx="0">
                  <c:v>2098.1898400000005</c:v>
                </c:pt>
                <c:pt idx="1">
                  <c:v>2098.1898400000005</c:v>
                </c:pt>
              </c:numCache>
            </c:numRef>
          </c:val>
        </c:ser>
        <c:ser>
          <c:idx val="3"/>
          <c:order val="3"/>
          <c:tx>
            <c:strRef>
              <c:f>'Graphs&amp;Analysis'!$C$11</c:f>
              <c:strCache>
                <c:ptCount val="1"/>
                <c:pt idx="0">
                  <c:v> Buildings Category 4 </c:v>
                </c:pt>
              </c:strCache>
            </c:strRef>
          </c:tx>
          <c:spPr>
            <a:solidFill>
              <a:srgbClr val="CCFFFF"/>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'Graphs&amp;Analysis'!$M$11:$N$11</c:f>
              <c:numCache>
                <c:formatCode>_-* #,##0_-;\-* #,##0_-;_-* "-"??_-;_-@_-</c:formatCode>
                <c:ptCount val="2"/>
                <c:pt idx="0">
                  <c:v>0</c:v>
                </c:pt>
                <c:pt idx="1">
                  <c:v>0</c:v>
                </c:pt>
              </c:numCache>
            </c:numRef>
          </c:val>
        </c:ser>
        <c:ser>
          <c:idx val="4"/>
          <c:order val="4"/>
          <c:tx>
            <c:strRef>
              <c:f>'Graphs&amp;Analysis'!$C$12</c:f>
              <c:strCache>
                <c:ptCount val="1"/>
                <c:pt idx="0">
                  <c:v> Buildings Category 5 </c:v>
                </c:pt>
              </c:strCache>
            </c:strRef>
          </c:tx>
          <c:spPr>
            <a:solidFill>
              <a:srgbClr val="660066"/>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'Graphs&amp;Analysis'!$M$12:$N$12</c:f>
              <c:numCache>
                <c:formatCode>_-* #,##0_-;\-* #,##0_-;_-* "-"??_-;_-@_-</c:formatCode>
                <c:ptCount val="2"/>
                <c:pt idx="0">
                  <c:v>0</c:v>
                </c:pt>
                <c:pt idx="1">
                  <c:v>0</c:v>
                </c:pt>
              </c:numCache>
            </c:numRef>
          </c:val>
        </c:ser>
        <c:ser>
          <c:idx val="5"/>
          <c:order val="5"/>
          <c:tx>
            <c:strRef>
              <c:f>'Graphs&amp;Analysis'!$C$13</c:f>
              <c:strCache>
                <c:ptCount val="1"/>
                <c:pt idx="0">
                  <c:v> Buildings Category 6 </c:v>
                </c:pt>
              </c:strCache>
            </c:strRef>
          </c:tx>
          <c:spPr>
            <a:solidFill>
              <a:srgbClr val="FF8080"/>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'Graphs&amp;Analysis'!$M$13:$N$13</c:f>
              <c:numCache>
                <c:formatCode>_-* #,##0_-;\-* #,##0_-;_-* "-"??_-;_-@_-</c:formatCode>
                <c:ptCount val="2"/>
                <c:pt idx="0">
                  <c:v>0</c:v>
                </c:pt>
                <c:pt idx="1">
                  <c:v>0</c:v>
                </c:pt>
              </c:numCache>
            </c:numRef>
          </c:val>
        </c:ser>
        <c:ser>
          <c:idx val="6"/>
          <c:order val="6"/>
          <c:tx>
            <c:strRef>
              <c:f>'Graphs&amp;Analysis'!$C$14</c:f>
              <c:strCache>
                <c:ptCount val="1"/>
                <c:pt idx="0">
                  <c:v> Buildings Category 7 </c:v>
                </c:pt>
              </c:strCache>
            </c:strRef>
          </c:tx>
          <c:spPr>
            <a:solidFill>
              <a:srgbClr val="0066CC"/>
            </a:solidFill>
            <a:ln w="12700">
              <a:solidFill>
                <a:srgbClr val="000000"/>
              </a:solidFill>
              <a:prstDash val="solid"/>
            </a:ln>
          </c:spPr>
          <c:cat>
            <c:strRef>
              <c:f>'Graphs&amp;Analysis'!$M$7:$N$7</c:f>
              <c:strCache>
                <c:ptCount val="2"/>
                <c:pt idx="0">
                  <c:v>Baseline emissions (tCO2/yr)</c:v>
                </c:pt>
                <c:pt idx="1">
                  <c:v>Remaining emissions (tCO2/yr)</c:v>
                </c:pt>
              </c:strCache>
            </c:strRef>
          </c:cat>
          <c:val>
            <c:numRef>
              <c:f>'Graphs&amp;Analysis'!$M$14:$N$14</c:f>
              <c:numCache>
                <c:formatCode>_-* #,##0_-;\-* #,##0_-;_-* "-"??_-;_-@_-</c:formatCode>
                <c:ptCount val="2"/>
                <c:pt idx="0">
                  <c:v>0</c:v>
                </c:pt>
                <c:pt idx="1">
                  <c:v>0</c:v>
                </c:pt>
              </c:numCache>
            </c:numRef>
          </c:val>
        </c:ser>
        <c:gapWidth val="100"/>
        <c:overlap val="100"/>
        <c:serLines>
          <c:spPr>
            <a:ln w="3175">
              <a:solidFill>
                <a:srgbClr val="000000"/>
              </a:solidFill>
              <a:prstDash val="solid"/>
            </a:ln>
          </c:spPr>
        </c:serLines>
        <c:axId val="112204032"/>
        <c:axId val="112209920"/>
      </c:barChart>
      <c:catAx>
        <c:axId val="112204032"/>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209920"/>
        <c:crosses val="autoZero"/>
        <c:auto val="1"/>
        <c:lblAlgn val="ctr"/>
        <c:lblOffset val="100"/>
        <c:tickLblSkip val="1"/>
        <c:tickMarkSkip val="1"/>
      </c:catAx>
      <c:valAx>
        <c:axId val="112209920"/>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12204032"/>
        <c:crosses val="autoZero"/>
        <c:crossBetween val="between"/>
      </c:valAx>
      <c:spPr>
        <a:solidFill>
          <a:srgbClr val="C0C0C0"/>
        </a:solidFill>
        <a:ln w="12700">
          <a:solidFill>
            <a:srgbClr val="808080"/>
          </a:solidFill>
          <a:prstDash val="solid"/>
        </a:ln>
      </c:spPr>
    </c:plotArea>
    <c:legend>
      <c:legendPos val="b"/>
      <c:layout>
        <c:manualLayout>
          <c:xMode val="edge"/>
          <c:yMode val="edge"/>
          <c:x val="7.7348205405813705E-2"/>
          <c:y val="0.79832096556789478"/>
          <c:w val="0.84346376371101617"/>
          <c:h val="0.17226926099096679"/>
        </c:manualLayout>
      </c:layout>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t>Wedges graph with buildings breakdown</a:t>
            </a:r>
          </a:p>
        </c:rich>
      </c:tx>
      <c:layout>
        <c:manualLayout>
          <c:xMode val="edge"/>
          <c:yMode val="edge"/>
          <c:x val="0.23388624015567477"/>
          <c:y val="3.3613537326946906E-2"/>
        </c:manualLayout>
      </c:layout>
      <c:spPr>
        <a:noFill/>
        <a:ln w="25400">
          <a:noFill/>
        </a:ln>
      </c:spPr>
    </c:title>
    <c:plotArea>
      <c:layout>
        <c:manualLayout>
          <c:layoutTarget val="inner"/>
          <c:xMode val="edge"/>
          <c:yMode val="edge"/>
          <c:x val="9.5764444788150299E-2"/>
          <c:y val="0.19047671151936579"/>
          <c:w val="0.86924649884628735"/>
          <c:h val="0.55462336589462402"/>
        </c:manualLayout>
      </c:layout>
      <c:areaChart>
        <c:grouping val="stacked"/>
        <c:ser>
          <c:idx val="0"/>
          <c:order val="0"/>
          <c:tx>
            <c:strRef>
              <c:f>'Graphs&amp;Analysis'!$C$8</c:f>
              <c:strCache>
                <c:ptCount val="1"/>
                <c:pt idx="0">
                  <c:v> halls </c:v>
                </c:pt>
              </c:strCache>
            </c:strRef>
          </c:tx>
          <c:spPr>
            <a:solidFill>
              <a:srgbClr val="9999FF"/>
            </a:solidFill>
            <a:ln w="12700">
              <a:solidFill>
                <a:srgbClr val="000000"/>
              </a:solidFill>
              <a:prstDash val="solid"/>
            </a:ln>
          </c:spPr>
          <c:dLbls>
            <c:dLbl>
              <c:idx val="1"/>
              <c:layout>
                <c:manualLayout>
                  <c:xMode val="edge"/>
                  <c:yMode val="edge"/>
                  <c:x val="0.90792060154919418"/>
                  <c:y val="0.50700418801478253"/>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'Graphs&amp;Analysis'!$P$8:$Q$8</c:f>
              <c:numCache>
                <c:formatCode>0%</c:formatCode>
                <c:ptCount val="2"/>
                <c:pt idx="0" formatCode="_-* #,##0_-;\-* #,##0_-;_-* &quot;-&quot;??_-;_-@_-">
                  <c:v>0</c:v>
                </c:pt>
                <c:pt idx="1">
                  <c:v>0.10485830802190099</c:v>
                </c:pt>
              </c:numCache>
            </c:numRef>
          </c:val>
        </c:ser>
        <c:ser>
          <c:idx val="1"/>
          <c:order val="1"/>
          <c:tx>
            <c:strRef>
              <c:f>'Graphs&amp;Analysis'!$C$9</c:f>
              <c:strCache>
                <c:ptCount val="1"/>
                <c:pt idx="0">
                  <c:v> Buildings Category 2 </c:v>
                </c:pt>
              </c:strCache>
            </c:strRef>
          </c:tx>
          <c:spPr>
            <a:solidFill>
              <a:srgbClr val="993366"/>
            </a:solidFill>
            <a:ln w="12700">
              <a:solidFill>
                <a:srgbClr val="000000"/>
              </a:solidFill>
              <a:prstDash val="solid"/>
            </a:ln>
          </c:spPr>
          <c:dLbls>
            <c:dLbl>
              <c:idx val="1"/>
              <c:layout>
                <c:manualLayout>
                  <c:xMode val="edge"/>
                  <c:yMode val="edge"/>
                  <c:x val="0.89687085791979226"/>
                  <c:y val="0.27170942672615417"/>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'Graphs&amp;Analysis'!$P$9:$Q$9</c:f>
              <c:numCache>
                <c:formatCode>0%</c:formatCode>
                <c:ptCount val="2"/>
                <c:pt idx="0" formatCode="_-* #,##0_-;\-* #,##0_-;_-* &quot;-&quot;??_-;_-@_-">
                  <c:v>0</c:v>
                </c:pt>
                <c:pt idx="1">
                  <c:v>1.960948026424578E-2</c:v>
                </c:pt>
              </c:numCache>
            </c:numRef>
          </c:val>
        </c:ser>
        <c:ser>
          <c:idx val="2"/>
          <c:order val="2"/>
          <c:tx>
            <c:strRef>
              <c:f>'Graphs&amp;Analysis'!$C$10</c:f>
              <c:strCache>
                <c:ptCount val="1"/>
                <c:pt idx="0">
                  <c:v> Buildings Category 3 </c:v>
                </c:pt>
              </c:strCache>
            </c:strRef>
          </c:tx>
          <c:spPr>
            <a:solidFill>
              <a:srgbClr val="FFFFCC"/>
            </a:solidFill>
            <a:ln w="12700">
              <a:solidFill>
                <a:srgbClr val="000000"/>
              </a:solidFill>
              <a:prstDash val="solid"/>
            </a:ln>
          </c:spPr>
          <c:dLbls>
            <c:dLbl>
              <c:idx val="1"/>
              <c:layout>
                <c:manualLayout>
                  <c:xMode val="edge"/>
                  <c:yMode val="edge"/>
                  <c:x val="0.89502923398155854"/>
                  <c:y val="0.23809588939920726"/>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'Graphs&amp;Analysis'!$P$10:$Q$10</c:f>
              <c:numCache>
                <c:formatCode>0%</c:formatCode>
                <c:ptCount val="2"/>
                <c:pt idx="0" formatCode="_-* #,##0_-;\-* #,##0_-;_-* &quot;-&quot;??_-;_-@_-">
                  <c:v>0</c:v>
                </c:pt>
                <c:pt idx="1">
                  <c:v>0</c:v>
                </c:pt>
              </c:numCache>
            </c:numRef>
          </c:val>
        </c:ser>
        <c:ser>
          <c:idx val="3"/>
          <c:order val="3"/>
          <c:tx>
            <c:strRef>
              <c:f>'Graphs&amp;Analysis'!$C$11</c:f>
              <c:strCache>
                <c:ptCount val="1"/>
                <c:pt idx="0">
                  <c:v> Buildings Category 4 </c:v>
                </c:pt>
              </c:strCache>
            </c:strRef>
          </c:tx>
          <c:spPr>
            <a:solidFill>
              <a:srgbClr val="CCFFFF"/>
            </a:solidFill>
            <a:ln w="12700">
              <a:solidFill>
                <a:srgbClr val="000000"/>
              </a:solidFill>
              <a:prstDash val="solid"/>
            </a:ln>
          </c:spPr>
          <c:dLbls>
            <c:dLbl>
              <c:idx val="1"/>
              <c:layout>
                <c:manualLayout>
                  <c:xMode val="edge"/>
                  <c:yMode val="edge"/>
                  <c:x val="0.92265359305506345"/>
                  <c:y val="0.23809588939920726"/>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'Graphs&amp;Analysis'!$P$11:$Q$11</c:f>
              <c:numCache>
                <c:formatCode>0%</c:formatCode>
                <c:ptCount val="2"/>
                <c:pt idx="0" formatCode="_-* #,##0_-;\-* #,##0_-;_-* &quot;-&quot;??_-;_-@_-">
                  <c:v>0</c:v>
                </c:pt>
                <c:pt idx="1">
                  <c:v>0</c:v>
                </c:pt>
              </c:numCache>
            </c:numRef>
          </c:val>
        </c:ser>
        <c:ser>
          <c:idx val="5"/>
          <c:order val="4"/>
          <c:tx>
            <c:strRef>
              <c:f>'Graphs&amp;Analysis'!$C$12</c:f>
              <c:strCache>
                <c:ptCount val="1"/>
                <c:pt idx="0">
                  <c:v> Buildings Category 5 </c:v>
                </c:pt>
              </c:strCache>
            </c:strRef>
          </c:tx>
          <c:spPr>
            <a:solidFill>
              <a:srgbClr val="000080"/>
            </a:solidFill>
            <a:ln w="12700">
              <a:solidFill>
                <a:srgbClr val="000000"/>
              </a:solidFill>
              <a:prstDash val="solid"/>
            </a:ln>
          </c:spPr>
          <c:dLbls>
            <c:dLbl>
              <c:idx val="1"/>
              <c:layout>
                <c:manualLayout>
                  <c:xMode val="edge"/>
                  <c:yMode val="edge"/>
                  <c:x val="0.90055410579625961"/>
                  <c:y val="0.24930040184152288"/>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'Graphs&amp;Analysis'!$P$12:$Q$12</c:f>
              <c:numCache>
                <c:formatCode>0%</c:formatCode>
                <c:ptCount val="2"/>
                <c:pt idx="0" formatCode="_-* #,##0_-;\-* #,##0_-;_-* &quot;-&quot;??_-;_-@_-">
                  <c:v>0</c:v>
                </c:pt>
                <c:pt idx="1">
                  <c:v>0</c:v>
                </c:pt>
              </c:numCache>
            </c:numRef>
          </c:val>
        </c:ser>
        <c:ser>
          <c:idx val="4"/>
          <c:order val="5"/>
          <c:tx>
            <c:strRef>
              <c:f>'Graphs&amp;Analysis'!$C$13</c:f>
              <c:strCache>
                <c:ptCount val="1"/>
                <c:pt idx="0">
                  <c:v> Buildings Category 6 </c:v>
                </c:pt>
              </c:strCache>
            </c:strRef>
          </c:tx>
          <c:spPr>
            <a:solidFill>
              <a:srgbClr val="660066"/>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'Graphs&amp;Analysis'!$P$13:$Q$13</c:f>
              <c:numCache>
                <c:formatCode>0%</c:formatCode>
                <c:ptCount val="2"/>
                <c:pt idx="0" formatCode="_-* #,##0_-;\-* #,##0_-;_-* &quot;-&quot;??_-;_-@_-">
                  <c:v>0</c:v>
                </c:pt>
                <c:pt idx="1">
                  <c:v>0</c:v>
                </c:pt>
              </c:numCache>
            </c:numRef>
          </c:val>
        </c:ser>
        <c:ser>
          <c:idx val="7"/>
          <c:order val="6"/>
          <c:tx>
            <c:strRef>
              <c:f>'Graphs&amp;Analysis'!$C$14</c:f>
              <c:strCache>
                <c:ptCount val="1"/>
                <c:pt idx="0">
                  <c:v> Buildings Category 7 </c:v>
                </c:pt>
              </c:strCache>
            </c:strRef>
          </c:tx>
          <c:spPr>
            <a:solidFill>
              <a:srgbClr val="CC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'Graphs&amp;Analysis'!$P$14:$Q$14</c:f>
              <c:numCache>
                <c:formatCode>0%</c:formatCode>
                <c:ptCount val="2"/>
                <c:pt idx="0" formatCode="_-* #,##0_-;\-* #,##0_-;_-* &quot;-&quot;??_-;_-@_-">
                  <c:v>0</c:v>
                </c:pt>
                <c:pt idx="1">
                  <c:v>0</c:v>
                </c:pt>
              </c:numCache>
            </c:numRef>
          </c:val>
        </c:ser>
        <c:ser>
          <c:idx val="6"/>
          <c:order val="7"/>
          <c:tx>
            <c:strRef>
              <c:f>'Graphs&amp;Analysis'!$C$22</c:f>
              <c:strCache>
                <c:ptCount val="1"/>
                <c:pt idx="0">
                  <c:v>Renewables</c:v>
                </c:pt>
              </c:strCache>
            </c:strRef>
          </c:tx>
          <c:spPr>
            <a:solidFill>
              <a:srgbClr val="0066CC"/>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'Graphs&amp;Analysis'!$P$22:$Q$22</c:f>
              <c:numCache>
                <c:formatCode>0%</c:formatCode>
                <c:ptCount val="2"/>
                <c:pt idx="0" formatCode="_-* #,##0_-;\-* #,##0_-;_-* &quot;-&quot;??_-;_-@_-">
                  <c:v>0</c:v>
                </c:pt>
                <c:pt idx="1">
                  <c:v>0</c:v>
                </c:pt>
              </c:numCache>
            </c:numRef>
          </c:val>
        </c:ser>
        <c:dLbls>
          <c:showVal val="1"/>
        </c:dLbls>
        <c:axId val="112315008"/>
        <c:axId val="112337280"/>
      </c:areaChart>
      <c:catAx>
        <c:axId val="112315008"/>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337280"/>
        <c:crosses val="autoZero"/>
        <c:auto val="1"/>
        <c:lblAlgn val="ctr"/>
        <c:lblOffset val="100"/>
        <c:tickLblSkip val="1"/>
        <c:tickMarkSkip val="1"/>
      </c:catAx>
      <c:valAx>
        <c:axId val="112337280"/>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315008"/>
        <c:crosses val="autoZero"/>
        <c:crossBetween val="midCat"/>
      </c:valAx>
      <c:spPr>
        <a:solidFill>
          <a:srgbClr val="C0C0C0"/>
        </a:solidFill>
        <a:ln w="12700">
          <a:solidFill>
            <a:srgbClr val="808080"/>
          </a:solidFill>
          <a:prstDash val="solid"/>
        </a:ln>
      </c:spPr>
    </c:plotArea>
    <c:legend>
      <c:legendPos val="b"/>
      <c:layout>
        <c:manualLayout>
          <c:xMode val="edge"/>
          <c:yMode val="edge"/>
          <c:x val="1.4732991505869278E-2"/>
          <c:y val="0.85994632994772502"/>
          <c:w val="0.96869419151090497"/>
          <c:h val="0.12044850875489309"/>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50" b="1" i="0" u="none" strike="noStrike" baseline="0">
                <a:solidFill>
                  <a:srgbClr val="000000"/>
                </a:solidFill>
                <a:latin typeface="Arial"/>
                <a:ea typeface="Arial"/>
                <a:cs typeface="Arial"/>
              </a:defRPr>
            </a:pPr>
            <a:r>
              <a:t>Emission reductions</a:t>
            </a:r>
          </a:p>
        </c:rich>
      </c:tx>
      <c:layout>
        <c:manualLayout>
          <c:xMode val="edge"/>
          <c:yMode val="edge"/>
          <c:x val="0.3922658988437695"/>
          <c:y val="3.9215836457707022E-2"/>
        </c:manualLayout>
      </c:layout>
      <c:spPr>
        <a:noFill/>
        <a:ln w="25400">
          <a:noFill/>
        </a:ln>
      </c:spPr>
    </c:title>
    <c:plotArea>
      <c:layout>
        <c:manualLayout>
          <c:layoutTarget val="inner"/>
          <c:xMode val="edge"/>
          <c:yMode val="edge"/>
          <c:x val="0.21178675289687085"/>
          <c:y val="0.26274610426663703"/>
          <c:w val="0.73112470347876291"/>
          <c:h val="0.57647279592829326"/>
        </c:manualLayout>
      </c:layout>
      <c:barChart>
        <c:barDir val="bar"/>
        <c:grouping val="stacked"/>
        <c:ser>
          <c:idx val="0"/>
          <c:order val="0"/>
          <c:tx>
            <c:strRef>
              <c:f>'Graphs&amp;Analysis'!$C$27</c:f>
              <c:strCache>
                <c:ptCount val="1"/>
                <c:pt idx="0">
                  <c:v>Buildings</c:v>
                </c:pt>
              </c:strCache>
            </c:strRef>
          </c:tx>
          <c:spPr>
            <a:solidFill>
              <a:srgbClr val="9999FF"/>
            </a:solidFill>
            <a:ln w="12700">
              <a:solidFill>
                <a:srgbClr val="000000"/>
              </a:solidFill>
              <a:prstDash val="solid"/>
            </a:ln>
          </c:spPr>
          <c:cat>
            <c:strRef>
              <c:f>'Graphs&amp;Analysis'!$M$26:$N$26</c:f>
              <c:strCache>
                <c:ptCount val="2"/>
                <c:pt idx="0">
                  <c:v>Baseline emissions (tCO2/yr)</c:v>
                </c:pt>
                <c:pt idx="1">
                  <c:v>Remaining emissions (tCO2/yr)</c:v>
                </c:pt>
              </c:strCache>
            </c:strRef>
          </c:cat>
          <c:val>
            <c:numRef>
              <c:f>'Graphs&amp;Analysis'!$M$27:$N$27</c:f>
              <c:numCache>
                <c:formatCode>_-* #,##0_-;\-* #,##0_-;_-* "-"??_-;_-@_-</c:formatCode>
                <c:ptCount val="2"/>
                <c:pt idx="0">
                  <c:v>15549.686546793002</c:v>
                </c:pt>
                <c:pt idx="1">
                  <c:v>13614.251453770825</c:v>
                </c:pt>
              </c:numCache>
            </c:numRef>
          </c:val>
        </c:ser>
        <c:ser>
          <c:idx val="1"/>
          <c:order val="1"/>
          <c:tx>
            <c:strRef>
              <c:f>'Graphs&amp;Analysis'!$C$28</c:f>
              <c:strCache>
                <c:ptCount val="1"/>
                <c:pt idx="0">
                  <c:v>Transport</c:v>
                </c:pt>
              </c:strCache>
            </c:strRef>
          </c:tx>
          <c:spPr>
            <a:solidFill>
              <a:srgbClr val="993366"/>
            </a:solidFill>
            <a:ln w="12700">
              <a:solidFill>
                <a:srgbClr val="000000"/>
              </a:solidFill>
              <a:prstDash val="solid"/>
            </a:ln>
          </c:spPr>
          <c:cat>
            <c:strRef>
              <c:f>'Graphs&amp;Analysis'!$M$26:$N$26</c:f>
              <c:strCache>
                <c:ptCount val="2"/>
                <c:pt idx="0">
                  <c:v>Baseline emissions (tCO2/yr)</c:v>
                </c:pt>
                <c:pt idx="1">
                  <c:v>Remaining emissions (tCO2/yr)</c:v>
                </c:pt>
              </c:strCache>
            </c:strRef>
          </c:cat>
          <c:val>
            <c:numRef>
              <c:f>'Graphs&amp;Analysis'!$M$28:$N$28</c:f>
              <c:numCache>
                <c:formatCode>_-* #,##0_-;\-* #,##0_-;_-* "-"??_-;_-@_-</c:formatCode>
                <c:ptCount val="2"/>
                <c:pt idx="0">
                  <c:v>0</c:v>
                </c:pt>
                <c:pt idx="1">
                  <c:v>0</c:v>
                </c:pt>
              </c:numCache>
            </c:numRef>
          </c:val>
        </c:ser>
        <c:ser>
          <c:idx val="3"/>
          <c:order val="2"/>
          <c:tx>
            <c:strRef>
              <c:f>'Graphs&amp;Analysis'!$L$30</c:f>
              <c:strCache>
                <c:ptCount val="1"/>
                <c:pt idx="0">
                  <c:v> Demand not considered  </c:v>
                </c:pt>
              </c:strCache>
            </c:strRef>
          </c:tx>
          <c:spPr>
            <a:solidFill>
              <a:srgbClr val="CCFFFF"/>
            </a:solidFill>
            <a:ln w="12700">
              <a:solidFill>
                <a:srgbClr val="000000"/>
              </a:solidFill>
              <a:prstDash val="solid"/>
            </a:ln>
          </c:spPr>
          <c:val>
            <c:numRef>
              <c:f>'Graphs&amp;Analysis'!$M$30:$N$30</c:f>
              <c:numCache>
                <c:formatCode>_-* #,##0_-;\-* #,##0_-;_-* "-"??_-;_-@_-</c:formatCode>
                <c:ptCount val="2"/>
                <c:pt idx="0">
                  <c:v>0</c:v>
                </c:pt>
                <c:pt idx="1">
                  <c:v>0</c:v>
                </c:pt>
              </c:numCache>
            </c:numRef>
          </c:val>
        </c:ser>
        <c:gapWidth val="100"/>
        <c:overlap val="100"/>
        <c:serLines>
          <c:spPr>
            <a:ln w="3175">
              <a:solidFill>
                <a:srgbClr val="000000"/>
              </a:solidFill>
              <a:prstDash val="solid"/>
            </a:ln>
          </c:spPr>
        </c:serLines>
        <c:axId val="112371584"/>
        <c:axId val="112373120"/>
      </c:barChart>
      <c:catAx>
        <c:axId val="112371584"/>
        <c:scaling>
          <c:orientation val="maxMin"/>
        </c:scaling>
        <c:axPos val="l"/>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373120"/>
        <c:crosses val="autoZero"/>
        <c:auto val="1"/>
        <c:lblAlgn val="ctr"/>
        <c:lblOffset val="100"/>
        <c:tickLblSkip val="1"/>
        <c:tickMarkSkip val="1"/>
      </c:catAx>
      <c:valAx>
        <c:axId val="112373120"/>
        <c:scaling>
          <c:orientation val="minMax"/>
        </c:scaling>
        <c:axPos val="t"/>
        <c:majorGridlines>
          <c:spPr>
            <a:ln w="3175">
              <a:solidFill>
                <a:srgbClr val="000000"/>
              </a:solidFill>
              <a:prstDash val="solid"/>
            </a:ln>
          </c:spPr>
        </c:majorGridlines>
        <c:numFmt formatCode="_-* #,##0_-;\-* #,##0_-;_-* &quot;-&quot;??_-;_-@_-" sourceLinked="1"/>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112371584"/>
        <c:crosses val="autoZero"/>
        <c:crossBetween val="between"/>
      </c:valAx>
      <c:spPr>
        <a:solidFill>
          <a:srgbClr val="C0C0C0"/>
        </a:solidFill>
        <a:ln w="12700">
          <a:solidFill>
            <a:srgbClr val="808080"/>
          </a:solidFill>
          <a:prstDash val="solid"/>
        </a:ln>
      </c:spPr>
    </c:plotArea>
    <c:legend>
      <c:legendPos val="b"/>
      <c:layout>
        <c:manualLayout>
          <c:xMode val="edge"/>
          <c:yMode val="edge"/>
          <c:x val="0.351750172202629"/>
          <c:y val="0.88627790394417871"/>
          <c:w val="0.47329735212605051"/>
          <c:h val="8.6274840206955444E-2"/>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25" b="1" i="0" u="none" strike="noStrike" baseline="0">
                <a:solidFill>
                  <a:srgbClr val="000000"/>
                </a:solidFill>
                <a:latin typeface="Arial"/>
                <a:ea typeface="Arial"/>
                <a:cs typeface="Arial"/>
              </a:defRPr>
            </a:pPr>
            <a:r>
              <a:t>Wedges graph</a:t>
            </a:r>
          </a:p>
        </c:rich>
      </c:tx>
      <c:layout>
        <c:manualLayout>
          <c:xMode val="edge"/>
          <c:yMode val="edge"/>
          <c:x val="0.40331564247317148"/>
          <c:y val="3.5294168333766564E-2"/>
        </c:manualLayout>
      </c:layout>
      <c:spPr>
        <a:noFill/>
        <a:ln w="25400">
          <a:noFill/>
        </a:ln>
      </c:spPr>
    </c:title>
    <c:plotArea>
      <c:layout>
        <c:manualLayout>
          <c:layoutTarget val="inner"/>
          <c:xMode val="edge"/>
          <c:yMode val="edge"/>
          <c:x val="8.6556325096982009E-2"/>
          <c:y val="0.1941179258357161"/>
          <c:w val="0.87845461853745566"/>
          <c:h val="0.60882440375747326"/>
        </c:manualLayout>
      </c:layout>
      <c:areaChart>
        <c:grouping val="stacked"/>
        <c:ser>
          <c:idx val="0"/>
          <c:order val="0"/>
          <c:tx>
            <c:strRef>
              <c:f>'Graphs&amp;Analysis'!$C$27</c:f>
              <c:strCache>
                <c:ptCount val="1"/>
                <c:pt idx="0">
                  <c:v>Buildings</c:v>
                </c:pt>
              </c:strCache>
            </c:strRef>
          </c:tx>
          <c:spPr>
            <a:solidFill>
              <a:srgbClr val="9999FF"/>
            </a:solidFill>
            <a:ln w="12700">
              <a:solidFill>
                <a:srgbClr val="000000"/>
              </a:solidFill>
              <a:prstDash val="solid"/>
            </a:ln>
          </c:spPr>
          <c:dLbls>
            <c:dLbl>
              <c:idx val="1"/>
              <c:layout>
                <c:manualLayout>
                  <c:xMode val="edge"/>
                  <c:yMode val="edge"/>
                  <c:x val="0.90607897761096057"/>
                  <c:y val="0.50000071806169299"/>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'Graphs&amp;Analysis'!$P$27:$Q$27</c:f>
              <c:numCache>
                <c:formatCode>0%</c:formatCode>
                <c:ptCount val="2"/>
                <c:pt idx="0" formatCode="_-* #,##0_-;\-* #,##0_-;_-* &quot;-&quot;??_-;_-@_-">
                  <c:v>0</c:v>
                </c:pt>
                <c:pt idx="1">
                  <c:v>0.12446778828614678</c:v>
                </c:pt>
              </c:numCache>
            </c:numRef>
          </c:val>
        </c:ser>
        <c:ser>
          <c:idx val="1"/>
          <c:order val="1"/>
          <c:tx>
            <c:strRef>
              <c:f>'Graphs&amp;Analysis'!$C$28</c:f>
              <c:strCache>
                <c:ptCount val="1"/>
                <c:pt idx="0">
                  <c:v>Transport</c:v>
                </c:pt>
              </c:strCache>
            </c:strRef>
          </c:tx>
          <c:spPr>
            <a:solidFill>
              <a:srgbClr val="993366"/>
            </a:solidFill>
            <a:ln w="12700">
              <a:solidFill>
                <a:srgbClr val="000000"/>
              </a:solidFill>
              <a:prstDash val="solid"/>
            </a:ln>
          </c:spPr>
          <c:dLbls>
            <c:dLbl>
              <c:idx val="1"/>
              <c:layout>
                <c:manualLayout>
                  <c:xMode val="edge"/>
                  <c:yMode val="edge"/>
                  <c:x val="0.89502923398155854"/>
                  <c:y val="0.24117681694740487"/>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'Graphs&amp;Analysis'!$P$28:$Q$28</c:f>
              <c:numCache>
                <c:formatCode>0%</c:formatCode>
                <c:ptCount val="2"/>
                <c:pt idx="0" formatCode="_-* #,##0_-;\-* #,##0_-;_-* &quot;-&quot;??_-;_-@_-">
                  <c:v>0</c:v>
                </c:pt>
                <c:pt idx="1">
                  <c:v>0</c:v>
                </c:pt>
              </c:numCache>
            </c:numRef>
          </c:val>
        </c:ser>
        <c:ser>
          <c:idx val="3"/>
          <c:order val="2"/>
          <c:tx>
            <c:strRef>
              <c:f>'Graphs&amp;Analysis'!$C$29</c:f>
              <c:strCache>
                <c:ptCount val="1"/>
                <c:pt idx="0">
                  <c:v>Renewables</c:v>
                </c:pt>
              </c:strCache>
            </c:strRef>
          </c:tx>
          <c:spPr>
            <a:solidFill>
              <a:srgbClr val="CCFFFF"/>
            </a:solidFill>
            <a:ln w="12700">
              <a:solidFill>
                <a:srgbClr val="000000"/>
              </a:solidFill>
              <a:prstDash val="solid"/>
            </a:ln>
          </c:spPr>
          <c:dLbls>
            <c:dLbl>
              <c:idx val="1"/>
              <c:layout>
                <c:manualLayout>
                  <c:xMode val="edge"/>
                  <c:yMode val="edge"/>
                  <c:x val="0.92265359305506345"/>
                  <c:y val="0.24705917833636595"/>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'Graphs&amp;Analysis'!$P$29:$Q$29</c:f>
              <c:numCache>
                <c:formatCode>0%</c:formatCode>
                <c:ptCount val="2"/>
                <c:pt idx="0" formatCode="_-* #,##0_-;\-* #,##0_-;_-* &quot;-&quot;??_-;_-@_-">
                  <c:v>0</c:v>
                </c:pt>
                <c:pt idx="1">
                  <c:v>0</c:v>
                </c:pt>
              </c:numCache>
            </c:numRef>
          </c:val>
        </c:ser>
        <c:dLbls>
          <c:showVal val="1"/>
        </c:dLbls>
        <c:axId val="112405504"/>
        <c:axId val="112448256"/>
      </c:areaChart>
      <c:catAx>
        <c:axId val="112405504"/>
        <c:scaling>
          <c:orientation val="minMax"/>
        </c:scaling>
        <c:axPos val="b"/>
        <c:numFmt formatCode="General" sourceLinked="1"/>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448256"/>
        <c:crosses val="autoZero"/>
        <c:auto val="1"/>
        <c:lblAlgn val="ctr"/>
        <c:lblOffset val="100"/>
        <c:tickLblSkip val="1"/>
        <c:tickMarkSkip val="1"/>
      </c:catAx>
      <c:valAx>
        <c:axId val="112448256"/>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112405504"/>
        <c:crosses val="autoZero"/>
        <c:crossBetween val="midCat"/>
      </c:valAx>
      <c:spPr>
        <a:solidFill>
          <a:srgbClr val="C0C0C0"/>
        </a:solidFill>
        <a:ln w="12700">
          <a:solidFill>
            <a:srgbClr val="808080"/>
          </a:solidFill>
          <a:prstDash val="solid"/>
        </a:ln>
      </c:spPr>
    </c:plotArea>
    <c:legend>
      <c:legendPos val="b"/>
      <c:layout>
        <c:manualLayout>
          <c:xMode val="edge"/>
          <c:yMode val="edge"/>
          <c:x val="0.34070042857322702"/>
          <c:y val="0.91470719598345007"/>
          <c:w val="0.3701664115849656"/>
          <c:h val="6.4705975278572039E-2"/>
        </c:manualLayout>
      </c:layout>
      <c:spPr>
        <a:solidFill>
          <a:srgbClr val="FFFFFF"/>
        </a:solidFill>
        <a:ln w="3175">
          <a:solidFill>
            <a:srgbClr val="000000"/>
          </a:solidFill>
          <a:prstDash val="solid"/>
        </a:ln>
      </c:spPr>
      <c:txPr>
        <a:bodyPr/>
        <a:lstStyle/>
        <a:p>
          <a:pPr>
            <a:defRPr sz="780"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150" b="1" i="0" u="none" strike="noStrike" baseline="0">
                <a:solidFill>
                  <a:srgbClr val="000000"/>
                </a:solidFill>
                <a:latin typeface="Arial"/>
                <a:ea typeface="Arial"/>
                <a:cs typeface="Arial"/>
              </a:defRPr>
            </a:pPr>
            <a:r>
              <a:t>Wedges graph with transport breakdown</a:t>
            </a:r>
          </a:p>
        </c:rich>
      </c:tx>
      <c:layout>
        <c:manualLayout>
          <c:xMode val="edge"/>
          <c:yMode val="edge"/>
          <c:x val="0.22744381777547301"/>
          <c:y val="3.3519598790479319E-2"/>
        </c:manualLayout>
      </c:layout>
      <c:spPr>
        <a:noFill/>
        <a:ln w="25400">
          <a:noFill/>
        </a:ln>
      </c:spPr>
    </c:title>
    <c:plotArea>
      <c:layout>
        <c:manualLayout>
          <c:layoutTarget val="inner"/>
          <c:xMode val="edge"/>
          <c:yMode val="edge"/>
          <c:x val="0.11090235742770999"/>
          <c:y val="0.18994439314604949"/>
          <c:w val="0.85338424190136164"/>
          <c:h val="0.5000006819579832"/>
        </c:manualLayout>
      </c:layout>
      <c:areaChart>
        <c:grouping val="stacked"/>
        <c:ser>
          <c:idx val="0"/>
          <c:order val="0"/>
          <c:tx>
            <c:strRef>
              <c:f>'Graphs&amp;Analysis'!$C$15</c:f>
              <c:strCache>
                <c:ptCount val="1"/>
                <c:pt idx="0">
                  <c:v> Transport Category 1 </c:v>
                </c:pt>
              </c:strCache>
            </c:strRef>
          </c:tx>
          <c:spPr>
            <a:solidFill>
              <a:srgbClr val="9999FF"/>
            </a:solidFill>
            <a:ln w="12700">
              <a:solidFill>
                <a:srgbClr val="000000"/>
              </a:solidFill>
              <a:prstDash val="solid"/>
            </a:ln>
          </c:spPr>
          <c:dLbls>
            <c:dLbl>
              <c:idx val="1"/>
              <c:layout>
                <c:manualLayout>
                  <c:xMode val="edge"/>
                  <c:yMode val="edge"/>
                  <c:x val="0.91165497207524315"/>
                  <c:y val="0.65921877621275993"/>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'Graphs&amp;Analysis'!$G$15:$H$15</c:f>
              <c:numCache>
                <c:formatCode>0%</c:formatCode>
                <c:ptCount val="2"/>
                <c:pt idx="0" formatCode="_-* #,##0_-;\-* #,##0_-;_-* &quot;-&quot;??_-;_-@_-">
                  <c:v>0</c:v>
                </c:pt>
                <c:pt idx="1">
                  <c:v>0</c:v>
                </c:pt>
              </c:numCache>
            </c:numRef>
          </c:val>
        </c:ser>
        <c:ser>
          <c:idx val="1"/>
          <c:order val="1"/>
          <c:tx>
            <c:strRef>
              <c:f>'Graphs&amp;Analysis'!$C$16</c:f>
              <c:strCache>
                <c:ptCount val="1"/>
                <c:pt idx="0">
                  <c:v> business Air </c:v>
                </c:pt>
              </c:strCache>
            </c:strRef>
          </c:tx>
          <c:spPr>
            <a:solidFill>
              <a:srgbClr val="993366"/>
            </a:solidFill>
            <a:ln w="12700">
              <a:solidFill>
                <a:srgbClr val="000000"/>
              </a:solidFill>
              <a:prstDash val="solid"/>
            </a:ln>
          </c:spPr>
          <c:dLbls>
            <c:dLbl>
              <c:idx val="1"/>
              <c:layout>
                <c:manualLayout>
                  <c:xMode val="edge"/>
                  <c:yMode val="edge"/>
                  <c:x val="0.89661736428843497"/>
                  <c:y val="0.6675986759103798"/>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'Graphs&amp;Analysis'!$G$16:$H$16</c:f>
              <c:numCache>
                <c:formatCode>0%</c:formatCode>
                <c:ptCount val="2"/>
                <c:pt idx="0" formatCode="_-* #,##0_-;\-* #,##0_-;_-* &quot;-&quot;??_-;_-@_-">
                  <c:v>0</c:v>
                </c:pt>
                <c:pt idx="1">
                  <c:v>0</c:v>
                </c:pt>
              </c:numCache>
            </c:numRef>
          </c:val>
        </c:ser>
        <c:ser>
          <c:idx val="2"/>
          <c:order val="2"/>
          <c:tx>
            <c:strRef>
              <c:f>'Graphs&amp;Analysis'!$C$17</c:f>
              <c:strCache>
                <c:ptCount val="1"/>
                <c:pt idx="0">
                  <c:v> Transport Category 3 </c:v>
                </c:pt>
              </c:strCache>
            </c:strRef>
          </c:tx>
          <c:spPr>
            <a:solidFill>
              <a:srgbClr val="FFFFCC"/>
            </a:solidFill>
            <a:ln w="12700">
              <a:solidFill>
                <a:srgbClr val="000000"/>
              </a:solidFill>
              <a:prstDash val="solid"/>
            </a:ln>
          </c:spPr>
          <c:dLbls>
            <c:dLbl>
              <c:idx val="1"/>
              <c:layout>
                <c:manualLayout>
                  <c:xMode val="edge"/>
                  <c:yMode val="edge"/>
                  <c:x val="0.89473766331508398"/>
                  <c:y val="0.67318527570879305"/>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'Graphs&amp;Analysis'!$G$17:$H$17</c:f>
              <c:numCache>
                <c:formatCode>0%</c:formatCode>
                <c:ptCount val="2"/>
                <c:pt idx="0" formatCode="_-* #,##0_-;\-* #,##0_-;_-* &quot;-&quot;??_-;_-@_-">
                  <c:v>0</c:v>
                </c:pt>
                <c:pt idx="1">
                  <c:v>0</c:v>
                </c:pt>
              </c:numCache>
            </c:numRef>
          </c:val>
        </c:ser>
        <c:ser>
          <c:idx val="3"/>
          <c:order val="3"/>
          <c:tx>
            <c:strRef>
              <c:f>'Graphs&amp;Analysis'!$C$18</c:f>
              <c:strCache>
                <c:ptCount val="1"/>
                <c:pt idx="0">
                  <c:v> Transport Category 4 </c:v>
                </c:pt>
              </c:strCache>
            </c:strRef>
          </c:tx>
          <c:spPr>
            <a:solidFill>
              <a:srgbClr val="CCFFFF"/>
            </a:solidFill>
            <a:ln w="12700">
              <a:solidFill>
                <a:srgbClr val="000000"/>
              </a:solidFill>
              <a:prstDash val="solid"/>
            </a:ln>
          </c:spPr>
          <c:dLbls>
            <c:dLbl>
              <c:idx val="1"/>
              <c:layout>
                <c:manualLayout>
                  <c:xMode val="edge"/>
                  <c:yMode val="edge"/>
                  <c:x val="0.92293317791534923"/>
                  <c:y val="0.67318527570879305"/>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'Graphs&amp;Analysis'!$G$18:$H$18</c:f>
              <c:numCache>
                <c:formatCode>0%</c:formatCode>
                <c:ptCount val="2"/>
                <c:pt idx="0" formatCode="_-* #,##0_-;\-* #,##0_-;_-* &quot;-&quot;??_-;_-@_-">
                  <c:v>0</c:v>
                </c:pt>
                <c:pt idx="1">
                  <c:v>0</c:v>
                </c:pt>
              </c:numCache>
            </c:numRef>
          </c:val>
        </c:ser>
        <c:ser>
          <c:idx val="5"/>
          <c:order val="4"/>
          <c:tx>
            <c:strRef>
              <c:f>'Graphs&amp;Analysis'!$C$19</c:f>
              <c:strCache>
                <c:ptCount val="1"/>
                <c:pt idx="0">
                  <c:v> Transport Category 5 </c:v>
                </c:pt>
              </c:strCache>
            </c:strRef>
          </c:tx>
          <c:spPr>
            <a:solidFill>
              <a:srgbClr val="000080"/>
            </a:solidFill>
            <a:ln w="12700">
              <a:solidFill>
                <a:srgbClr val="000000"/>
              </a:solidFill>
              <a:prstDash val="solid"/>
            </a:ln>
          </c:spPr>
          <c:dLbls>
            <c:dLbl>
              <c:idx val="1"/>
              <c:layout>
                <c:manualLayout>
                  <c:xMode val="edge"/>
                  <c:yMode val="edge"/>
                  <c:x val="0.90037676623513696"/>
                  <c:y val="0.68435847530561944"/>
                </c:manualLayout>
              </c:layout>
              <c:showVal val="1"/>
            </c:dLbl>
            <c:spPr>
              <a:noFill/>
              <a:ln w="25400">
                <a:noFill/>
              </a:ln>
            </c:spPr>
            <c:txPr>
              <a:bodyPr/>
              <a:lstStyle/>
              <a:p>
                <a:pPr>
                  <a:defRPr sz="850" b="1" i="0" u="none" strike="noStrike" baseline="0">
                    <a:solidFill>
                      <a:srgbClr val="000000"/>
                    </a:solidFill>
                    <a:latin typeface="Arial"/>
                    <a:ea typeface="Arial"/>
                    <a:cs typeface="Arial"/>
                  </a:defRPr>
                </a:pPr>
                <a:endParaRPr lang="en-US"/>
              </a:p>
            </c:txPr>
            <c:showVal val="1"/>
          </c:dLbls>
          <c:val>
            <c:numRef>
              <c:f>'Graphs&amp;Analysis'!$G$19:$H$19</c:f>
              <c:numCache>
                <c:formatCode>0%</c:formatCode>
                <c:ptCount val="2"/>
                <c:pt idx="0" formatCode="_-* #,##0_-;\-* #,##0_-;_-* &quot;-&quot;??_-;_-@_-">
                  <c:v>0</c:v>
                </c:pt>
                <c:pt idx="1">
                  <c:v>0</c:v>
                </c:pt>
              </c:numCache>
            </c:numRef>
          </c:val>
        </c:ser>
        <c:ser>
          <c:idx val="4"/>
          <c:order val="5"/>
          <c:tx>
            <c:strRef>
              <c:f>'Graphs&amp;Analysis'!$C$20</c:f>
              <c:strCache>
                <c:ptCount val="1"/>
                <c:pt idx="0">
                  <c:v> Transport Category 6 </c:v>
                </c:pt>
              </c:strCache>
            </c:strRef>
          </c:tx>
          <c:spPr>
            <a:solidFill>
              <a:srgbClr val="660066"/>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'Graphs&amp;Analysis'!$G$20:$H$20</c:f>
              <c:numCache>
                <c:formatCode>0%</c:formatCode>
                <c:ptCount val="2"/>
                <c:pt idx="0" formatCode="_-* #,##0_-;\-* #,##0_-;_-* &quot;-&quot;??_-;_-@_-">
                  <c:v>0</c:v>
                </c:pt>
                <c:pt idx="1">
                  <c:v>0</c:v>
                </c:pt>
              </c:numCache>
            </c:numRef>
          </c:val>
        </c:ser>
        <c:ser>
          <c:idx val="7"/>
          <c:order val="6"/>
          <c:tx>
            <c:strRef>
              <c:f>'Graphs&amp;Analysis'!$C$21</c:f>
              <c:strCache>
                <c:ptCount val="1"/>
                <c:pt idx="0">
                  <c:v> Transport Category 7 </c:v>
                </c:pt>
              </c:strCache>
            </c:strRef>
          </c:tx>
          <c:spPr>
            <a:solidFill>
              <a:srgbClr val="CCCCFF"/>
            </a:solidFill>
            <a:ln w="12700">
              <a:solidFill>
                <a:srgbClr val="000000"/>
              </a:solidFill>
              <a:prstDash val="solid"/>
            </a:ln>
          </c:spPr>
          <c:dLbls>
            <c:spPr>
              <a:noFill/>
              <a:ln w="25400">
                <a:noFill/>
              </a:ln>
            </c:spPr>
            <c:txPr>
              <a:bodyPr/>
              <a:lstStyle/>
              <a:p>
                <a:pPr>
                  <a:defRPr sz="900" b="0" i="0" u="none" strike="noStrike" baseline="0">
                    <a:solidFill>
                      <a:srgbClr val="000000"/>
                    </a:solidFill>
                    <a:latin typeface="Arial"/>
                    <a:ea typeface="Arial"/>
                    <a:cs typeface="Arial"/>
                  </a:defRPr>
                </a:pPr>
                <a:endParaRPr lang="en-US"/>
              </a:p>
            </c:txPr>
            <c:showVal val="1"/>
          </c:dLbls>
          <c:val>
            <c:numRef>
              <c:f>'Graphs&amp;Analysis'!$G$21:$H$21</c:f>
              <c:numCache>
                <c:formatCode>0%</c:formatCode>
                <c:ptCount val="2"/>
                <c:pt idx="0" formatCode="_-* #,##0_-;\-* #,##0_-;_-* &quot;-&quot;??_-;_-@_-">
                  <c:v>0</c:v>
                </c:pt>
                <c:pt idx="1">
                  <c:v>0</c:v>
                </c:pt>
              </c:numCache>
            </c:numRef>
          </c:val>
        </c:ser>
        <c:dLbls>
          <c:showVal val="1"/>
        </c:dLbls>
        <c:axId val="112535424"/>
        <c:axId val="112536960"/>
      </c:areaChart>
      <c:catAx>
        <c:axId val="112535424"/>
        <c:scaling>
          <c:orientation val="minMax"/>
        </c:scaling>
        <c:axPos val="b"/>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536960"/>
        <c:crosses val="autoZero"/>
        <c:auto val="1"/>
        <c:lblAlgn val="ctr"/>
        <c:lblOffset val="100"/>
        <c:tickLblSkip val="1"/>
        <c:tickMarkSkip val="1"/>
      </c:catAx>
      <c:valAx>
        <c:axId val="112536960"/>
        <c:scaling>
          <c:orientation val="minMax"/>
        </c:scaling>
        <c:axPos val="l"/>
        <c:majorGridlines>
          <c:spPr>
            <a:ln w="3175">
              <a:solidFill>
                <a:srgbClr val="000000"/>
              </a:solidFill>
              <a:prstDash val="solid"/>
            </a:ln>
          </c:spPr>
        </c:majorGridlines>
        <c:numFmt formatCode="0%" sourceLinked="0"/>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12535424"/>
        <c:crosses val="autoZero"/>
        <c:crossBetween val="midCat"/>
      </c:valAx>
      <c:spPr>
        <a:solidFill>
          <a:srgbClr val="C0C0C0"/>
        </a:solidFill>
        <a:ln w="12700">
          <a:solidFill>
            <a:srgbClr val="808080"/>
          </a:solidFill>
          <a:prstDash val="solid"/>
        </a:ln>
      </c:spPr>
    </c:plotArea>
    <c:legend>
      <c:legendPos val="b"/>
      <c:layout>
        <c:manualLayout>
          <c:xMode val="edge"/>
          <c:yMode val="edge"/>
          <c:x val="0.16353398468153846"/>
          <c:y val="0.80447037097150376"/>
          <c:w val="0.7481209873937047"/>
          <c:h val="0.17597789365001643"/>
        </c:manualLayout>
      </c:layou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zero"/>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333375</xdr:colOff>
      <xdr:row>2</xdr:row>
      <xdr:rowOff>28575</xdr:rowOff>
    </xdr:from>
    <xdr:to>
      <xdr:col>10</xdr:col>
      <xdr:colOff>542925</xdr:colOff>
      <xdr:row>8</xdr:row>
      <xdr:rowOff>19050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7915275" y="447675"/>
          <a:ext cx="1981200" cy="962025"/>
        </a:xfrm>
        <a:prstGeom prst="rect">
          <a:avLst/>
        </a:prstGeom>
        <a:noFill/>
      </xdr:spPr>
    </xdr:pic>
    <xdr:clientData/>
  </xdr:twoCellAnchor>
  <xdr:twoCellAnchor editAs="oneCell">
    <xdr:from>
      <xdr:col>6</xdr:col>
      <xdr:colOff>895350</xdr:colOff>
      <xdr:row>2</xdr:row>
      <xdr:rowOff>66675</xdr:rowOff>
    </xdr:from>
    <xdr:to>
      <xdr:col>8</xdr:col>
      <xdr:colOff>247650</xdr:colOff>
      <xdr:row>7</xdr:row>
      <xdr:rowOff>76200</xdr:rowOff>
    </xdr:to>
    <xdr:pic>
      <xdr:nvPicPr>
        <xdr:cNvPr id="1026" name="Picture 14" descr="CT_Logo_RGB"/>
        <xdr:cNvPicPr>
          <a:picLocks noChangeAspect="1" noChangeArrowheads="1"/>
        </xdr:cNvPicPr>
      </xdr:nvPicPr>
      <xdr:blipFill>
        <a:blip xmlns:r="http://schemas.openxmlformats.org/officeDocument/2006/relationships" r:embed="rId2"/>
        <a:srcRect/>
        <a:stretch>
          <a:fillRect/>
        </a:stretch>
      </xdr:blipFill>
      <xdr:spPr bwMode="auto">
        <a:xfrm>
          <a:off x="6638925" y="485775"/>
          <a:ext cx="1190625" cy="819150"/>
        </a:xfrm>
        <a:prstGeom prst="rect">
          <a:avLst/>
        </a:prstGeom>
        <a:noFill/>
        <a:ln w="9525">
          <a:noFill/>
          <a:miter lim="800000"/>
          <a:headEnd/>
          <a:tailEnd/>
        </a:ln>
      </xdr:spPr>
    </xdr:pic>
    <xdr:clientData/>
  </xdr:twoCellAnchor>
  <xdr:twoCellAnchor editAs="absolute">
    <xdr:from>
      <xdr:col>1</xdr:col>
      <xdr:colOff>38100</xdr:colOff>
      <xdr:row>13</xdr:row>
      <xdr:rowOff>19050</xdr:rowOff>
    </xdr:from>
    <xdr:to>
      <xdr:col>9</xdr:col>
      <xdr:colOff>828675</xdr:colOff>
      <xdr:row>19</xdr:row>
      <xdr:rowOff>38100</xdr:rowOff>
    </xdr:to>
    <xdr:grpSp>
      <xdr:nvGrpSpPr>
        <xdr:cNvPr id="1131" name="Group 107"/>
        <xdr:cNvGrpSpPr>
          <a:grpSpLocks/>
        </xdr:cNvGrpSpPr>
      </xdr:nvGrpSpPr>
      <xdr:grpSpPr bwMode="auto">
        <a:xfrm>
          <a:off x="171450" y="2400300"/>
          <a:ext cx="9153525" cy="1066800"/>
          <a:chOff x="5" y="211"/>
          <a:chExt cx="974" cy="148"/>
        </a:xfrm>
      </xdr:grpSpPr>
      <xdr:sp macro="" textlink="">
        <xdr:nvSpPr>
          <xdr:cNvPr id="1132" name="AutoShape 108"/>
          <xdr:cNvSpPr>
            <a:spLocks noChangeArrowheads="1"/>
          </xdr:cNvSpPr>
        </xdr:nvSpPr>
        <xdr:spPr bwMode="auto">
          <a:xfrm>
            <a:off x="5" y="211"/>
            <a:ext cx="974" cy="148"/>
          </a:xfrm>
          <a:prstGeom prst="roundRect">
            <a:avLst>
              <a:gd name="adj" fmla="val 16667"/>
            </a:avLst>
          </a:prstGeom>
          <a:solidFill>
            <a:srgbClr val="FFFFFF"/>
          </a:solidFill>
          <a:ln w="50800">
            <a:solidFill>
              <a:srgbClr val="CCFFFF"/>
            </a:solidFill>
            <a:round/>
            <a:headEnd/>
            <a:tailEnd/>
          </a:ln>
        </xdr:spPr>
      </xdr:sp>
      <xdr:sp macro="" textlink="">
        <xdr:nvSpPr>
          <xdr:cNvPr id="1133" name="Text Box 109"/>
          <xdr:cNvSpPr txBox="1">
            <a:spLocks noChangeArrowheads="1"/>
          </xdr:cNvSpPr>
        </xdr:nvSpPr>
        <xdr:spPr bwMode="auto">
          <a:xfrm>
            <a:off x="20" y="224"/>
            <a:ext cx="941" cy="127"/>
          </a:xfrm>
          <a:prstGeom prst="rect">
            <a:avLst/>
          </a:prstGeom>
          <a:noFill/>
          <a:ln w="19050">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This tool has been designed by Carbon Insight to help clients rapidly review potential for carbon savings across their building portfolio.  </a:t>
            </a:r>
          </a:p>
          <a:p>
            <a:pPr algn="l" rtl="0">
              <a:defRPr sz="1000"/>
            </a:pPr>
            <a:r>
              <a:rPr lang="en-GB" sz="1000" b="0" i="0" strike="noStrike">
                <a:solidFill>
                  <a:srgbClr val="000000"/>
                </a:solidFill>
                <a:latin typeface="Arial"/>
                <a:cs typeface="Arial"/>
              </a:rPr>
              <a:t>Copy and paste the data from the baseline tool into the tables 2 and 3 below.</a:t>
            </a:r>
          </a:p>
          <a:p>
            <a:pPr algn="l" rtl="0">
              <a:defRPr sz="1000"/>
            </a:pPr>
            <a:r>
              <a:rPr lang="en-GB" sz="1000" b="0" i="0" strike="noStrike">
                <a:solidFill>
                  <a:srgbClr val="000000"/>
                </a:solidFill>
                <a:latin typeface="Arial"/>
                <a:cs typeface="Arial"/>
              </a:rPr>
              <a:t>If baseline data is unavailable , approximate consumptions figures can be obtained by inputting floor areas with the corresponding building type into table 1.</a:t>
            </a:r>
          </a:p>
          <a:p>
            <a:pPr algn="l" rtl="0">
              <a:defRPr sz="1000"/>
            </a:pPr>
            <a:r>
              <a:rPr lang="en-GB" sz="1000" b="0" i="0" strike="noStrike">
                <a:solidFill>
                  <a:srgbClr val="000000"/>
                </a:solidFill>
                <a:latin typeface="Arial"/>
                <a:cs typeface="Arial"/>
              </a:rPr>
              <a:t>Please note if air travel is being considered it will need to have a separate transport category in this tool. This will mean air travel will need to have a separate category in the baseline tool. In addition, financial costs and savings associated with air travel are not calculated in this version of the tool.</a:t>
            </a:r>
          </a:p>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381000</xdr:colOff>
      <xdr:row>1</xdr:row>
      <xdr:rowOff>142875</xdr:rowOff>
    </xdr:from>
    <xdr:to>
      <xdr:col>10</xdr:col>
      <xdr:colOff>590550</xdr:colOff>
      <xdr:row>6</xdr:row>
      <xdr:rowOff>57150</xdr:rowOff>
    </xdr:to>
    <xdr:grpSp>
      <xdr:nvGrpSpPr>
        <xdr:cNvPr id="2263" name="Group 215"/>
        <xdr:cNvGrpSpPr>
          <a:grpSpLocks/>
        </xdr:cNvGrpSpPr>
      </xdr:nvGrpSpPr>
      <xdr:grpSpPr bwMode="auto">
        <a:xfrm>
          <a:off x="381000" y="371475"/>
          <a:ext cx="9277350" cy="1076325"/>
          <a:chOff x="5" y="211"/>
          <a:chExt cx="974" cy="148"/>
        </a:xfrm>
      </xdr:grpSpPr>
      <xdr:sp macro="" textlink="">
        <xdr:nvSpPr>
          <xdr:cNvPr id="2264" name="AutoShape 216"/>
          <xdr:cNvSpPr>
            <a:spLocks noChangeArrowheads="1"/>
          </xdr:cNvSpPr>
        </xdr:nvSpPr>
        <xdr:spPr bwMode="auto">
          <a:xfrm>
            <a:off x="5" y="211"/>
            <a:ext cx="974" cy="148"/>
          </a:xfrm>
          <a:prstGeom prst="roundRect">
            <a:avLst>
              <a:gd name="adj" fmla="val 16667"/>
            </a:avLst>
          </a:prstGeom>
          <a:solidFill>
            <a:srgbClr val="FFFFFF"/>
          </a:solidFill>
          <a:ln w="50800">
            <a:solidFill>
              <a:srgbClr val="CCFFFF"/>
            </a:solidFill>
            <a:round/>
            <a:headEnd/>
            <a:tailEnd/>
          </a:ln>
        </xdr:spPr>
      </xdr:sp>
      <xdr:sp macro="" textlink="">
        <xdr:nvSpPr>
          <xdr:cNvPr id="2265" name="Text Box 217"/>
          <xdr:cNvSpPr txBox="1">
            <a:spLocks noChangeArrowheads="1"/>
          </xdr:cNvSpPr>
        </xdr:nvSpPr>
        <xdr:spPr bwMode="auto">
          <a:xfrm>
            <a:off x="20" y="224"/>
            <a:ext cx="941" cy="127"/>
          </a:xfrm>
          <a:prstGeom prst="rect">
            <a:avLst/>
          </a:prstGeom>
          <a:noFill/>
          <a:ln w="19050">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For each group of sites we have listed opportunities for carbon reductions and the likely saving.  The user should fill in the blue cells with the percentage of the baseline this opportunity might be</a:t>
            </a:r>
            <a:r>
              <a:rPr lang="en-GB" sz="1000" b="1" i="0" strike="noStrike">
                <a:solidFill>
                  <a:srgbClr val="000000"/>
                </a:solidFill>
                <a:latin typeface="Arial"/>
                <a:cs typeface="Arial"/>
              </a:rPr>
              <a:t> 'applicable' </a:t>
            </a:r>
            <a:r>
              <a:rPr lang="en-GB" sz="1000" b="0" i="0" strike="noStrike">
                <a:solidFill>
                  <a:srgbClr val="000000"/>
                </a:solidFill>
                <a:latin typeface="Arial"/>
                <a:cs typeface="Arial"/>
              </a:rPr>
              <a:t>to, then of this percentage the likely</a:t>
            </a:r>
            <a:r>
              <a:rPr lang="en-GB" sz="1000" b="1" i="0" strike="noStrike">
                <a:solidFill>
                  <a:srgbClr val="000000"/>
                </a:solidFill>
                <a:latin typeface="Arial"/>
                <a:cs typeface="Arial"/>
              </a:rPr>
              <a:t> 'opportunity'</a:t>
            </a:r>
            <a:r>
              <a:rPr lang="en-GB" sz="1000" b="0" i="0" strike="noStrike">
                <a:solidFill>
                  <a:srgbClr val="000000"/>
                </a:solidFill>
                <a:latin typeface="Arial"/>
                <a:cs typeface="Arial"/>
              </a:rPr>
              <a:t> for the carbon reduction to be implemented.  </a:t>
            </a:r>
          </a:p>
          <a:p>
            <a:pPr algn="l" rtl="0">
              <a:defRPr sz="1000"/>
            </a:pPr>
            <a:r>
              <a:rPr lang="en-GB" sz="1000" b="1" i="0" u="sng" strike="noStrike">
                <a:solidFill>
                  <a:srgbClr val="000000"/>
                </a:solidFill>
                <a:latin typeface="Arial"/>
                <a:cs typeface="Arial"/>
              </a:rPr>
              <a:t>Note:</a:t>
            </a:r>
            <a:r>
              <a:rPr lang="en-GB" sz="1000" b="0" i="0" strike="noStrike">
                <a:solidFill>
                  <a:srgbClr val="000000"/>
                </a:solidFill>
                <a:latin typeface="Arial"/>
                <a:cs typeface="Arial"/>
              </a:rPr>
              <a:t> Carbon reduction opportunities will overlap, for example insulating a building will reduce the potential saving from boiler replacement.  Be cautious of this in estimates and if unsure contact you Technical Consultant.  </a:t>
            </a:r>
          </a:p>
          <a:p>
            <a:pPr algn="l" rtl="0">
              <a:defRPr sz="1000"/>
            </a:pPr>
            <a:r>
              <a:rPr lang="en-GB" sz="1000" b="1" i="0" strike="noStrike">
                <a:solidFill>
                  <a:srgbClr val="000000"/>
                </a:solidFill>
                <a:latin typeface="Arial"/>
                <a:cs typeface="Arial"/>
              </a:rPr>
              <a:t>Transport Costs of Implementation: </a:t>
            </a:r>
            <a:r>
              <a:rPr lang="en-GB" sz="1000" b="0" i="0" strike="noStrike">
                <a:solidFill>
                  <a:srgbClr val="000000"/>
                </a:solidFill>
                <a:latin typeface="Arial"/>
                <a:cs typeface="Arial"/>
              </a:rPr>
              <a:t>An estimation has been used of £500/tCO</a:t>
            </a:r>
            <a:r>
              <a:rPr lang="en-GB" sz="1000" b="0" i="0" strike="noStrike" baseline="-25000">
                <a:solidFill>
                  <a:srgbClr val="000000"/>
                </a:solidFill>
                <a:latin typeface="Arial"/>
                <a:cs typeface="Arial"/>
              </a:rPr>
              <a:t>2</a:t>
            </a:r>
            <a:r>
              <a:rPr lang="en-GB" sz="1000" b="0" i="0" strike="noStrike">
                <a:solidFill>
                  <a:srgbClr val="000000"/>
                </a:solidFill>
                <a:latin typeface="Arial"/>
                <a:cs typeface="Arial"/>
              </a:rPr>
              <a:t> for all costs associated with implementing transport related opportunities.</a:t>
            </a:r>
          </a:p>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314325</xdr:colOff>
      <xdr:row>4</xdr:row>
      <xdr:rowOff>295275</xdr:rowOff>
    </xdr:to>
    <xdr:sp macro="" textlink="">
      <xdr:nvSpPr>
        <xdr:cNvPr id="7169" name="Text Box 1"/>
        <xdr:cNvSpPr txBox="1">
          <a:spLocks noChangeArrowheads="1"/>
        </xdr:cNvSpPr>
      </xdr:nvSpPr>
      <xdr:spPr bwMode="auto">
        <a:xfrm>
          <a:off x="1133475" y="2495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1</a:t>
          </a:r>
        </a:p>
      </xdr:txBody>
    </xdr:sp>
    <xdr:clientData/>
  </xdr:twoCellAnchor>
  <xdr:twoCellAnchor>
    <xdr:from>
      <xdr:col>2</xdr:col>
      <xdr:colOff>0</xdr:colOff>
      <xdr:row>6</xdr:row>
      <xdr:rowOff>0</xdr:rowOff>
    </xdr:from>
    <xdr:to>
      <xdr:col>2</xdr:col>
      <xdr:colOff>314325</xdr:colOff>
      <xdr:row>6</xdr:row>
      <xdr:rowOff>295275</xdr:rowOff>
    </xdr:to>
    <xdr:sp macro="" textlink="">
      <xdr:nvSpPr>
        <xdr:cNvPr id="7170" name="Text Box 2"/>
        <xdr:cNvSpPr txBox="1">
          <a:spLocks noChangeArrowheads="1"/>
        </xdr:cNvSpPr>
      </xdr:nvSpPr>
      <xdr:spPr bwMode="auto">
        <a:xfrm>
          <a:off x="1133475" y="4781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7</a:t>
          </a:r>
        </a:p>
      </xdr:txBody>
    </xdr:sp>
    <xdr:clientData/>
  </xdr:twoCellAnchor>
  <xdr:twoCellAnchor>
    <xdr:from>
      <xdr:col>2</xdr:col>
      <xdr:colOff>0</xdr:colOff>
      <xdr:row>5</xdr:row>
      <xdr:rowOff>0</xdr:rowOff>
    </xdr:from>
    <xdr:to>
      <xdr:col>2</xdr:col>
      <xdr:colOff>314325</xdr:colOff>
      <xdr:row>5</xdr:row>
      <xdr:rowOff>295275</xdr:rowOff>
    </xdr:to>
    <xdr:sp macro="" textlink="">
      <xdr:nvSpPr>
        <xdr:cNvPr id="7171" name="Text Box 3"/>
        <xdr:cNvSpPr txBox="1">
          <a:spLocks noChangeArrowheads="1"/>
        </xdr:cNvSpPr>
      </xdr:nvSpPr>
      <xdr:spPr bwMode="auto">
        <a:xfrm>
          <a:off x="1133475" y="3638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4</a:t>
          </a:r>
        </a:p>
      </xdr:txBody>
    </xdr:sp>
    <xdr:clientData/>
  </xdr:twoCellAnchor>
  <xdr:twoCellAnchor>
    <xdr:from>
      <xdr:col>3</xdr:col>
      <xdr:colOff>0</xdr:colOff>
      <xdr:row>5</xdr:row>
      <xdr:rowOff>0</xdr:rowOff>
    </xdr:from>
    <xdr:to>
      <xdr:col>3</xdr:col>
      <xdr:colOff>314325</xdr:colOff>
      <xdr:row>5</xdr:row>
      <xdr:rowOff>295275</xdr:rowOff>
    </xdr:to>
    <xdr:sp macro="" textlink="">
      <xdr:nvSpPr>
        <xdr:cNvPr id="7172" name="Text Box 4"/>
        <xdr:cNvSpPr txBox="1">
          <a:spLocks noChangeArrowheads="1"/>
        </xdr:cNvSpPr>
      </xdr:nvSpPr>
      <xdr:spPr bwMode="auto">
        <a:xfrm>
          <a:off x="2514600" y="3638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5</a:t>
          </a:r>
        </a:p>
      </xdr:txBody>
    </xdr:sp>
    <xdr:clientData/>
  </xdr:twoCellAnchor>
  <xdr:twoCellAnchor>
    <xdr:from>
      <xdr:col>3</xdr:col>
      <xdr:colOff>0</xdr:colOff>
      <xdr:row>4</xdr:row>
      <xdr:rowOff>0</xdr:rowOff>
    </xdr:from>
    <xdr:to>
      <xdr:col>3</xdr:col>
      <xdr:colOff>314325</xdr:colOff>
      <xdr:row>4</xdr:row>
      <xdr:rowOff>295275</xdr:rowOff>
    </xdr:to>
    <xdr:sp macro="" textlink="">
      <xdr:nvSpPr>
        <xdr:cNvPr id="7173" name="Text Box 5"/>
        <xdr:cNvSpPr txBox="1">
          <a:spLocks noChangeArrowheads="1"/>
        </xdr:cNvSpPr>
      </xdr:nvSpPr>
      <xdr:spPr bwMode="auto">
        <a:xfrm>
          <a:off x="2514600" y="2495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2</a:t>
          </a:r>
        </a:p>
      </xdr:txBody>
    </xdr:sp>
    <xdr:clientData/>
  </xdr:twoCellAnchor>
  <xdr:twoCellAnchor>
    <xdr:from>
      <xdr:col>4</xdr:col>
      <xdr:colOff>0</xdr:colOff>
      <xdr:row>4</xdr:row>
      <xdr:rowOff>0</xdr:rowOff>
    </xdr:from>
    <xdr:to>
      <xdr:col>4</xdr:col>
      <xdr:colOff>314325</xdr:colOff>
      <xdr:row>4</xdr:row>
      <xdr:rowOff>295275</xdr:rowOff>
    </xdr:to>
    <xdr:sp macro="" textlink="">
      <xdr:nvSpPr>
        <xdr:cNvPr id="7174" name="Text Box 6"/>
        <xdr:cNvSpPr txBox="1">
          <a:spLocks noChangeArrowheads="1"/>
        </xdr:cNvSpPr>
      </xdr:nvSpPr>
      <xdr:spPr bwMode="auto">
        <a:xfrm>
          <a:off x="3895725" y="2495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3</a:t>
          </a:r>
        </a:p>
      </xdr:txBody>
    </xdr:sp>
    <xdr:clientData/>
  </xdr:twoCellAnchor>
  <xdr:twoCellAnchor>
    <xdr:from>
      <xdr:col>4</xdr:col>
      <xdr:colOff>0</xdr:colOff>
      <xdr:row>5</xdr:row>
      <xdr:rowOff>0</xdr:rowOff>
    </xdr:from>
    <xdr:to>
      <xdr:col>4</xdr:col>
      <xdr:colOff>314325</xdr:colOff>
      <xdr:row>5</xdr:row>
      <xdr:rowOff>295275</xdr:rowOff>
    </xdr:to>
    <xdr:sp macro="" textlink="">
      <xdr:nvSpPr>
        <xdr:cNvPr id="7175" name="Text Box 7"/>
        <xdr:cNvSpPr txBox="1">
          <a:spLocks noChangeArrowheads="1"/>
        </xdr:cNvSpPr>
      </xdr:nvSpPr>
      <xdr:spPr bwMode="auto">
        <a:xfrm>
          <a:off x="3895725" y="3638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6</a:t>
          </a:r>
        </a:p>
      </xdr:txBody>
    </xdr:sp>
    <xdr:clientData/>
  </xdr:twoCellAnchor>
  <xdr:twoCellAnchor>
    <xdr:from>
      <xdr:col>4</xdr:col>
      <xdr:colOff>0</xdr:colOff>
      <xdr:row>6</xdr:row>
      <xdr:rowOff>0</xdr:rowOff>
    </xdr:from>
    <xdr:to>
      <xdr:col>4</xdr:col>
      <xdr:colOff>314325</xdr:colOff>
      <xdr:row>6</xdr:row>
      <xdr:rowOff>295275</xdr:rowOff>
    </xdr:to>
    <xdr:sp macro="" textlink="">
      <xdr:nvSpPr>
        <xdr:cNvPr id="7176" name="Text Box 8"/>
        <xdr:cNvSpPr txBox="1">
          <a:spLocks noChangeArrowheads="1"/>
        </xdr:cNvSpPr>
      </xdr:nvSpPr>
      <xdr:spPr bwMode="auto">
        <a:xfrm>
          <a:off x="3895725" y="4781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9</a:t>
          </a:r>
        </a:p>
      </xdr:txBody>
    </xdr:sp>
    <xdr:clientData/>
  </xdr:twoCellAnchor>
  <xdr:twoCellAnchor>
    <xdr:from>
      <xdr:col>3</xdr:col>
      <xdr:colOff>0</xdr:colOff>
      <xdr:row>6</xdr:row>
      <xdr:rowOff>0</xdr:rowOff>
    </xdr:from>
    <xdr:to>
      <xdr:col>3</xdr:col>
      <xdr:colOff>314325</xdr:colOff>
      <xdr:row>6</xdr:row>
      <xdr:rowOff>295275</xdr:rowOff>
    </xdr:to>
    <xdr:sp macro="" textlink="">
      <xdr:nvSpPr>
        <xdr:cNvPr id="7177" name="Text Box 9"/>
        <xdr:cNvSpPr txBox="1">
          <a:spLocks noChangeArrowheads="1"/>
        </xdr:cNvSpPr>
      </xdr:nvSpPr>
      <xdr:spPr bwMode="auto">
        <a:xfrm>
          <a:off x="2514600" y="4781550"/>
          <a:ext cx="314325" cy="295275"/>
        </a:xfrm>
        <a:prstGeom prst="rect">
          <a:avLst/>
        </a:prstGeom>
        <a:noFill/>
        <a:ln w="9525">
          <a:noFill/>
          <a:miter lim="800000"/>
          <a:headEnd/>
          <a:tailEnd/>
        </a:ln>
      </xdr:spPr>
      <xdr:txBody>
        <a:bodyPr vertOverflow="clip" wrap="square" lIns="36576" tIns="27432" rIns="36576" bIns="27432" anchor="ctr" upright="1"/>
        <a:lstStyle/>
        <a:p>
          <a:pPr algn="ctr" rtl="0">
            <a:defRPr sz="1000"/>
          </a:pPr>
          <a:r>
            <a:rPr lang="en-GB" sz="1400" b="1" i="0" strike="noStrike">
              <a:solidFill>
                <a:srgbClr val="000000"/>
              </a:solidFill>
              <a:latin typeface="Arial"/>
              <a:cs typeface="Arial"/>
            </a:rPr>
            <a:t>8</a:t>
          </a:r>
        </a:p>
      </xdr:txBody>
    </xdr:sp>
    <xdr:clientData/>
  </xdr:twoCellAnchor>
  <xdr:twoCellAnchor editAs="absolute">
    <xdr:from>
      <xdr:col>1</xdr:col>
      <xdr:colOff>200025</xdr:colOff>
      <xdr:row>2</xdr:row>
      <xdr:rowOff>9525</xdr:rowOff>
    </xdr:from>
    <xdr:to>
      <xdr:col>12</xdr:col>
      <xdr:colOff>190500</xdr:colOff>
      <xdr:row>3</xdr:row>
      <xdr:rowOff>47625</xdr:rowOff>
    </xdr:to>
    <xdr:grpSp>
      <xdr:nvGrpSpPr>
        <xdr:cNvPr id="7178" name="Group 10"/>
        <xdr:cNvGrpSpPr>
          <a:grpSpLocks/>
        </xdr:cNvGrpSpPr>
      </xdr:nvGrpSpPr>
      <xdr:grpSpPr bwMode="auto">
        <a:xfrm>
          <a:off x="438150" y="495300"/>
          <a:ext cx="9296400" cy="1304925"/>
          <a:chOff x="5" y="211"/>
          <a:chExt cx="974" cy="148"/>
        </a:xfrm>
      </xdr:grpSpPr>
      <xdr:sp macro="" textlink="">
        <xdr:nvSpPr>
          <xdr:cNvPr id="7179" name="AutoShape 11"/>
          <xdr:cNvSpPr>
            <a:spLocks noChangeArrowheads="1"/>
          </xdr:cNvSpPr>
        </xdr:nvSpPr>
        <xdr:spPr bwMode="auto">
          <a:xfrm>
            <a:off x="5" y="211"/>
            <a:ext cx="974" cy="148"/>
          </a:xfrm>
          <a:prstGeom prst="roundRect">
            <a:avLst>
              <a:gd name="adj" fmla="val 16667"/>
            </a:avLst>
          </a:prstGeom>
          <a:solidFill>
            <a:srgbClr val="FFFFFF"/>
          </a:solidFill>
          <a:ln w="50800">
            <a:solidFill>
              <a:srgbClr val="CCFFFF"/>
            </a:solidFill>
            <a:round/>
            <a:headEnd/>
            <a:tailEnd/>
          </a:ln>
        </xdr:spPr>
      </xdr:sp>
      <xdr:sp macro="" textlink="">
        <xdr:nvSpPr>
          <xdr:cNvPr id="7180" name="Text Box 12"/>
          <xdr:cNvSpPr txBox="1">
            <a:spLocks noChangeArrowheads="1"/>
          </xdr:cNvSpPr>
        </xdr:nvSpPr>
        <xdr:spPr bwMode="auto">
          <a:xfrm>
            <a:off x="20" y="224"/>
            <a:ext cx="941" cy="127"/>
          </a:xfrm>
          <a:prstGeom prst="rect">
            <a:avLst/>
          </a:prstGeom>
          <a:noFill/>
          <a:ln w="19050">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The ease and effect matrix is a basic tool for swift assessment of projects.  The idea is to quickly get from a long list of projects to three shorter lists, red/amber/green, with green projects the ones to follow up.  This allows the carbon management team to focus on the opportunities that are most likely to provide the biggest savings for the least cost/effort.  It is far from an accurate process, but is a useful step in the 'confidence curve' of quantification, shown below.  </a:t>
            </a:r>
          </a:p>
          <a:p>
            <a:pPr algn="l" rtl="0">
              <a:defRPr sz="1000"/>
            </a:pPr>
            <a:r>
              <a:rPr lang="en-GB" sz="1000" b="0" i="0" strike="noStrike">
                <a:solidFill>
                  <a:srgbClr val="000000"/>
                </a:solidFill>
                <a:latin typeface="Arial"/>
                <a:cs typeface="Arial"/>
              </a:rPr>
              <a:t>If a project is very easy (first column) and will have a high effect on emissions (top row), it will score 1.  </a:t>
            </a:r>
          </a:p>
          <a:p>
            <a:pPr algn="l" rtl="0">
              <a:defRPr sz="1000"/>
            </a:pPr>
            <a:r>
              <a:rPr lang="en-GB" sz="1000" b="0" i="0" strike="noStrike">
                <a:solidFill>
                  <a:srgbClr val="000000"/>
                </a:solidFill>
                <a:latin typeface="Arial"/>
                <a:cs typeface="Arial"/>
              </a:rPr>
              <a:t>If a project is difficult (last column) and will have a medium effect on emissions (bottom row), it will score 7.  </a:t>
            </a:r>
          </a:p>
          <a:p>
            <a:pPr algn="l" rtl="0">
              <a:defRPr sz="1000"/>
            </a:pPr>
            <a:r>
              <a:rPr lang="en-GB" sz="1000" b="0" i="0" strike="noStrike">
                <a:solidFill>
                  <a:srgbClr val="000000"/>
                </a:solidFill>
                <a:latin typeface="Arial"/>
                <a:cs typeface="Arial"/>
              </a:rPr>
              <a:t>The below table is generated automatically from ease-effect scores input on the "Opportunities" tab.  For example if you put a project as "3" in the "Opportunities" tab, it will add one to the large number in the top right cell below.  </a:t>
            </a:r>
          </a:p>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grpSp>
    <xdr:clientData/>
  </xdr:twoCellAnchor>
  <xdr:twoCellAnchor editAs="oneCell">
    <xdr:from>
      <xdr:col>5</xdr:col>
      <xdr:colOff>200025</xdr:colOff>
      <xdr:row>6</xdr:row>
      <xdr:rowOff>9525</xdr:rowOff>
    </xdr:from>
    <xdr:to>
      <xdr:col>16</xdr:col>
      <xdr:colOff>114300</xdr:colOff>
      <xdr:row>29</xdr:row>
      <xdr:rowOff>47625</xdr:rowOff>
    </xdr:to>
    <xdr:pic>
      <xdr:nvPicPr>
        <xdr:cNvPr id="7182" name="Picture 14"/>
        <xdr:cNvPicPr>
          <a:picLocks noChangeAspect="1" noChangeArrowheads="1"/>
        </xdr:cNvPicPr>
      </xdr:nvPicPr>
      <xdr:blipFill>
        <a:blip xmlns:r="http://schemas.openxmlformats.org/officeDocument/2006/relationships" r:embed="rId1"/>
        <a:srcRect/>
        <a:stretch>
          <a:fillRect/>
        </a:stretch>
      </xdr:blipFill>
      <xdr:spPr bwMode="auto">
        <a:xfrm>
          <a:off x="5476875" y="4791075"/>
          <a:ext cx="6619875" cy="4743450"/>
        </a:xfrm>
        <a:prstGeom prst="rect">
          <a:avLst/>
        </a:prstGeom>
        <a:noFill/>
      </xdr:spPr>
    </xdr:pic>
    <xdr:clientData/>
  </xdr:twoCellAnchor>
  <xdr:twoCellAnchor editAs="absolute">
    <xdr:from>
      <xdr:col>6</xdr:col>
      <xdr:colOff>161925</xdr:colOff>
      <xdr:row>3</xdr:row>
      <xdr:rowOff>409575</xdr:rowOff>
    </xdr:from>
    <xdr:to>
      <xdr:col>10</xdr:col>
      <xdr:colOff>285750</xdr:colOff>
      <xdr:row>5</xdr:row>
      <xdr:rowOff>714375</xdr:rowOff>
    </xdr:to>
    <xdr:grpSp>
      <xdr:nvGrpSpPr>
        <xdr:cNvPr id="7183" name="Group 15"/>
        <xdr:cNvGrpSpPr>
          <a:grpSpLocks/>
        </xdr:cNvGrpSpPr>
      </xdr:nvGrpSpPr>
      <xdr:grpSpPr bwMode="auto">
        <a:xfrm>
          <a:off x="6048375" y="2162175"/>
          <a:ext cx="2562225" cy="2190750"/>
          <a:chOff x="5" y="211"/>
          <a:chExt cx="974" cy="148"/>
        </a:xfrm>
      </xdr:grpSpPr>
      <xdr:sp macro="" textlink="">
        <xdr:nvSpPr>
          <xdr:cNvPr id="7184" name="AutoShape 16"/>
          <xdr:cNvSpPr>
            <a:spLocks noChangeArrowheads="1"/>
          </xdr:cNvSpPr>
        </xdr:nvSpPr>
        <xdr:spPr bwMode="auto">
          <a:xfrm>
            <a:off x="5" y="211"/>
            <a:ext cx="974" cy="148"/>
          </a:xfrm>
          <a:prstGeom prst="roundRect">
            <a:avLst>
              <a:gd name="adj" fmla="val 16667"/>
            </a:avLst>
          </a:prstGeom>
          <a:solidFill>
            <a:srgbClr val="FFFFFF"/>
          </a:solidFill>
          <a:ln w="50800">
            <a:solidFill>
              <a:srgbClr val="CCFFFF"/>
            </a:solidFill>
            <a:round/>
            <a:headEnd/>
            <a:tailEnd/>
          </a:ln>
        </xdr:spPr>
      </xdr:sp>
      <xdr:sp macro="" textlink="">
        <xdr:nvSpPr>
          <xdr:cNvPr id="7185" name="Text Box 17"/>
          <xdr:cNvSpPr txBox="1">
            <a:spLocks noChangeArrowheads="1"/>
          </xdr:cNvSpPr>
        </xdr:nvSpPr>
        <xdr:spPr bwMode="auto">
          <a:xfrm>
            <a:off x="20" y="224"/>
            <a:ext cx="941" cy="127"/>
          </a:xfrm>
          <a:prstGeom prst="rect">
            <a:avLst/>
          </a:prstGeom>
          <a:noFill/>
          <a:ln w="19050">
            <a:noFill/>
            <a:miter lim="800000"/>
            <a:headEnd/>
            <a:tailEnd/>
          </a:ln>
        </xdr:spPr>
        <xdr:txBody>
          <a:bodyPr vertOverflow="clip" wrap="square" lIns="27432" tIns="22860" rIns="0" bIns="0" anchor="t" upright="1"/>
          <a:lstStyle/>
          <a:p>
            <a:pPr algn="l" rtl="0">
              <a:defRPr sz="1000"/>
            </a:pPr>
            <a:r>
              <a:rPr lang="en-GB" sz="1000" b="1" i="0" strike="noStrike">
                <a:solidFill>
                  <a:srgbClr val="000000"/>
                </a:solidFill>
                <a:latin typeface="Arial"/>
                <a:cs typeface="Arial"/>
              </a:rPr>
              <a:t>Ease factors:</a:t>
            </a: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Cost (capital and revenue)</a:t>
            </a:r>
          </a:p>
          <a:p>
            <a:pPr algn="l" rtl="0">
              <a:defRPr sz="1000"/>
            </a:pPr>
            <a:r>
              <a:rPr lang="en-GB" sz="1000" b="0" i="0" strike="noStrike">
                <a:solidFill>
                  <a:srgbClr val="000000"/>
                </a:solidFill>
                <a:latin typeface="Arial"/>
                <a:cs typeface="Arial"/>
              </a:rPr>
              <a:t>Cost (staff time)</a:t>
            </a:r>
          </a:p>
          <a:p>
            <a:pPr algn="l" rtl="0">
              <a:defRPr sz="1000"/>
            </a:pPr>
            <a:r>
              <a:rPr lang="en-GB" sz="1000" b="0" i="0" strike="noStrike">
                <a:solidFill>
                  <a:srgbClr val="000000"/>
                </a:solidFill>
                <a:latin typeface="Arial"/>
                <a:cs typeface="Arial"/>
              </a:rPr>
              <a:t>Staff support</a:t>
            </a:r>
          </a:p>
          <a:p>
            <a:pPr algn="l" rtl="0">
              <a:defRPr sz="1000"/>
            </a:pPr>
            <a:r>
              <a:rPr lang="en-GB" sz="1000" b="0" i="0" strike="noStrike">
                <a:solidFill>
                  <a:srgbClr val="000000"/>
                </a:solidFill>
                <a:latin typeface="Arial"/>
                <a:cs typeface="Arial"/>
              </a:rPr>
              <a:t>Technical practicality</a:t>
            </a:r>
          </a:p>
          <a:p>
            <a:pPr algn="l" rtl="0">
              <a:defRPr sz="1000"/>
            </a:pPr>
            <a:endParaRPr lang="en-GB" sz="1000" b="0" i="0" strike="noStrike">
              <a:solidFill>
                <a:srgbClr val="000000"/>
              </a:solidFill>
              <a:latin typeface="Arial"/>
              <a:cs typeface="Arial"/>
            </a:endParaRPr>
          </a:p>
          <a:p>
            <a:pPr algn="l" rtl="0">
              <a:defRPr sz="1000"/>
            </a:pPr>
            <a:r>
              <a:rPr lang="en-GB" sz="1000" b="1" i="0" strike="noStrike">
                <a:solidFill>
                  <a:srgbClr val="000000"/>
                </a:solidFill>
                <a:latin typeface="Arial"/>
                <a:cs typeface="Arial"/>
              </a:rPr>
              <a:t>Effect factors:</a:t>
            </a:r>
            <a:endParaRPr lang="en-GB" sz="1000" b="0" i="0" strike="noStrike">
              <a:solidFill>
                <a:srgbClr val="000000"/>
              </a:solidFill>
              <a:latin typeface="Arial"/>
              <a:cs typeface="Arial"/>
            </a:endParaRPr>
          </a:p>
          <a:p>
            <a:pPr algn="l" rtl="0">
              <a:defRPr sz="1000"/>
            </a:pPr>
            <a:r>
              <a:rPr lang="en-GB" sz="1000" b="0" i="0" strike="noStrike">
                <a:solidFill>
                  <a:srgbClr val="000000"/>
                </a:solidFill>
                <a:latin typeface="Arial"/>
                <a:cs typeface="Arial"/>
              </a:rPr>
              <a:t>Carbon savings</a:t>
            </a:r>
          </a:p>
          <a:p>
            <a:pPr algn="l" rtl="0">
              <a:defRPr sz="1000"/>
            </a:pPr>
            <a:r>
              <a:rPr lang="en-GB" sz="1000" b="0" i="0" strike="noStrike">
                <a:solidFill>
                  <a:srgbClr val="000000"/>
                </a:solidFill>
                <a:latin typeface="Arial"/>
                <a:cs typeface="Arial"/>
              </a:rPr>
              <a:t>Galvanising/engaging staff support</a:t>
            </a:r>
          </a:p>
          <a:p>
            <a:pPr algn="l" rtl="0">
              <a:defRPr sz="1000"/>
            </a:pPr>
            <a:r>
              <a:rPr lang="en-GB" sz="1000" b="0" i="0" strike="noStrike">
                <a:solidFill>
                  <a:srgbClr val="000000"/>
                </a:solidFill>
                <a:latin typeface="Arial"/>
                <a:cs typeface="Arial"/>
              </a:rPr>
              <a:t>Public awareness</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113</xdr:row>
      <xdr:rowOff>142875</xdr:rowOff>
    </xdr:from>
    <xdr:to>
      <xdr:col>8</xdr:col>
      <xdr:colOff>19050</xdr:colOff>
      <xdr:row>127</xdr:row>
      <xdr:rowOff>142875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54</xdr:row>
      <xdr:rowOff>0</xdr:rowOff>
    </xdr:from>
    <xdr:to>
      <xdr:col>8</xdr:col>
      <xdr:colOff>0</xdr:colOff>
      <xdr:row>75</xdr:row>
      <xdr:rowOff>0</xdr:rowOff>
    </xdr:to>
    <xdr:graphicFrame macro="">
      <xdr:nvGraphicFramePr>
        <xdr:cNvPr id="307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19050</xdr:colOff>
      <xdr:row>97</xdr:row>
      <xdr:rowOff>152400</xdr:rowOff>
    </xdr:from>
    <xdr:to>
      <xdr:col>8</xdr:col>
      <xdr:colOff>19050</xdr:colOff>
      <xdr:row>112</xdr:row>
      <xdr:rowOff>142875</xdr:rowOff>
    </xdr:to>
    <xdr:graphicFrame macro="">
      <xdr:nvGraphicFramePr>
        <xdr:cNvPr id="307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33</xdr:row>
      <xdr:rowOff>0</xdr:rowOff>
    </xdr:from>
    <xdr:to>
      <xdr:col>8</xdr:col>
      <xdr:colOff>0</xdr:colOff>
      <xdr:row>53</xdr:row>
      <xdr:rowOff>0</xdr:rowOff>
    </xdr:to>
    <xdr:graphicFrame macro="">
      <xdr:nvGraphicFramePr>
        <xdr:cNvPr id="307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19050</xdr:colOff>
      <xdr:row>114</xdr:row>
      <xdr:rowOff>57150</xdr:rowOff>
    </xdr:from>
    <xdr:to>
      <xdr:col>17</xdr:col>
      <xdr:colOff>19050</xdr:colOff>
      <xdr:row>128</xdr:row>
      <xdr:rowOff>57150</xdr:rowOff>
    </xdr:to>
    <xdr:graphicFrame macro="">
      <xdr:nvGraphicFramePr>
        <xdr:cNvPr id="30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54</xdr:row>
      <xdr:rowOff>0</xdr:rowOff>
    </xdr:from>
    <xdr:to>
      <xdr:col>17</xdr:col>
      <xdr:colOff>0</xdr:colOff>
      <xdr:row>75</xdr:row>
      <xdr:rowOff>0</xdr:rowOff>
    </xdr:to>
    <xdr:graphicFrame macro="">
      <xdr:nvGraphicFramePr>
        <xdr:cNvPr id="30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19050</xdr:colOff>
      <xdr:row>98</xdr:row>
      <xdr:rowOff>57150</xdr:rowOff>
    </xdr:from>
    <xdr:to>
      <xdr:col>17</xdr:col>
      <xdr:colOff>19050</xdr:colOff>
      <xdr:row>113</xdr:row>
      <xdr:rowOff>57150</xdr:rowOff>
    </xdr:to>
    <xdr:graphicFrame macro="">
      <xdr:nvGraphicFramePr>
        <xdr:cNvPr id="3079"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0</xdr:rowOff>
    </xdr:from>
    <xdr:to>
      <xdr:col>17</xdr:col>
      <xdr:colOff>0</xdr:colOff>
      <xdr:row>53</xdr:row>
      <xdr:rowOff>0</xdr:rowOff>
    </xdr:to>
    <xdr:graphicFrame macro="">
      <xdr:nvGraphicFramePr>
        <xdr:cNvPr id="308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9525</xdr:colOff>
      <xdr:row>76</xdr:row>
      <xdr:rowOff>0</xdr:rowOff>
    </xdr:from>
    <xdr:to>
      <xdr:col>8</xdr:col>
      <xdr:colOff>19050</xdr:colOff>
      <xdr:row>97</xdr:row>
      <xdr:rowOff>9525</xdr:rowOff>
    </xdr:to>
    <xdr:graphicFrame macro="">
      <xdr:nvGraphicFramePr>
        <xdr:cNvPr id="30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19050</xdr:colOff>
      <xdr:row>76</xdr:row>
      <xdr:rowOff>9525</xdr:rowOff>
    </xdr:from>
    <xdr:to>
      <xdr:col>17</xdr:col>
      <xdr:colOff>28575</xdr:colOff>
      <xdr:row>97</xdr:row>
      <xdr:rowOff>19050</xdr:rowOff>
    </xdr:to>
    <xdr:graphicFrame macro="">
      <xdr:nvGraphicFramePr>
        <xdr:cNvPr id="3084"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9525</xdr:colOff>
      <xdr:row>129</xdr:row>
      <xdr:rowOff>57150</xdr:rowOff>
    </xdr:from>
    <xdr:to>
      <xdr:col>8</xdr:col>
      <xdr:colOff>19050</xdr:colOff>
      <xdr:row>143</xdr:row>
      <xdr:rowOff>66675</xdr:rowOff>
    </xdr:to>
    <xdr:graphicFrame macro="">
      <xdr:nvGraphicFramePr>
        <xdr:cNvPr id="3085"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123825</xdr:colOff>
      <xdr:row>129</xdr:row>
      <xdr:rowOff>57150</xdr:rowOff>
    </xdr:from>
    <xdr:to>
      <xdr:col>16</xdr:col>
      <xdr:colOff>590550</xdr:colOff>
      <xdr:row>143</xdr:row>
      <xdr:rowOff>66675</xdr:rowOff>
    </xdr:to>
    <xdr:graphicFrame macro="">
      <xdr:nvGraphicFramePr>
        <xdr:cNvPr id="3086"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85725</xdr:colOff>
      <xdr:row>2</xdr:row>
      <xdr:rowOff>114300</xdr:rowOff>
    </xdr:from>
    <xdr:to>
      <xdr:col>12</xdr:col>
      <xdr:colOff>533400</xdr:colOff>
      <xdr:row>2</xdr:row>
      <xdr:rowOff>542925</xdr:rowOff>
    </xdr:to>
    <xdr:grpSp>
      <xdr:nvGrpSpPr>
        <xdr:cNvPr id="6151" name="Group 7"/>
        <xdr:cNvGrpSpPr>
          <a:grpSpLocks/>
        </xdr:cNvGrpSpPr>
      </xdr:nvGrpSpPr>
      <xdr:grpSpPr bwMode="auto">
        <a:xfrm>
          <a:off x="219075" y="571500"/>
          <a:ext cx="9277350" cy="428625"/>
          <a:chOff x="5" y="211"/>
          <a:chExt cx="974" cy="148"/>
        </a:xfrm>
      </xdr:grpSpPr>
      <xdr:sp macro="" textlink="">
        <xdr:nvSpPr>
          <xdr:cNvPr id="6152" name="AutoShape 8"/>
          <xdr:cNvSpPr>
            <a:spLocks noChangeArrowheads="1"/>
          </xdr:cNvSpPr>
        </xdr:nvSpPr>
        <xdr:spPr bwMode="auto">
          <a:xfrm>
            <a:off x="5" y="211"/>
            <a:ext cx="974" cy="148"/>
          </a:xfrm>
          <a:prstGeom prst="roundRect">
            <a:avLst>
              <a:gd name="adj" fmla="val 16667"/>
            </a:avLst>
          </a:prstGeom>
          <a:solidFill>
            <a:srgbClr val="FFFFFF"/>
          </a:solidFill>
          <a:ln w="50800">
            <a:solidFill>
              <a:srgbClr val="CCFFFF"/>
            </a:solidFill>
            <a:round/>
            <a:headEnd/>
            <a:tailEnd/>
          </a:ln>
        </xdr:spPr>
      </xdr:sp>
      <xdr:sp macro="" textlink="">
        <xdr:nvSpPr>
          <xdr:cNvPr id="6153" name="Text Box 9"/>
          <xdr:cNvSpPr txBox="1">
            <a:spLocks noChangeArrowheads="1"/>
          </xdr:cNvSpPr>
        </xdr:nvSpPr>
        <xdr:spPr bwMode="auto">
          <a:xfrm>
            <a:off x="20" y="224"/>
            <a:ext cx="941" cy="127"/>
          </a:xfrm>
          <a:prstGeom prst="rect">
            <a:avLst/>
          </a:prstGeom>
          <a:noFill/>
          <a:ln w="19050">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The selected opportunities have been put into the Carbon Management Projects Register (CMPR) data input format.  </a:t>
            </a:r>
          </a:p>
          <a:p>
            <a:pPr algn="l" rtl="0">
              <a:defRPr sz="1000"/>
            </a:pPr>
            <a:r>
              <a:rPr lang="en-GB" sz="1000" b="0" i="0" strike="noStrike">
                <a:solidFill>
                  <a:srgbClr val="000000"/>
                </a:solidFill>
                <a:latin typeface="Arial"/>
                <a:cs typeface="Arial"/>
              </a:rPr>
              <a:t>The blue cells can be copied into the CMPR "Project list" tab.  Use "paste special" and select "Values".  </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70</xdr:row>
      <xdr:rowOff>0</xdr:rowOff>
    </xdr:from>
    <xdr:to>
      <xdr:col>5</xdr:col>
      <xdr:colOff>390525</xdr:colOff>
      <xdr:row>98</xdr:row>
      <xdr:rowOff>47625</xdr:rowOff>
    </xdr:to>
    <xdr:pic>
      <xdr:nvPicPr>
        <xdr:cNvPr id="4118" name="Picture 22"/>
        <xdr:cNvPicPr>
          <a:picLocks noChangeAspect="1" noChangeArrowheads="1"/>
        </xdr:cNvPicPr>
      </xdr:nvPicPr>
      <xdr:blipFill>
        <a:blip xmlns:r="http://schemas.openxmlformats.org/officeDocument/2006/relationships" r:embed="rId1"/>
        <a:srcRect/>
        <a:stretch>
          <a:fillRect/>
        </a:stretch>
      </xdr:blipFill>
      <xdr:spPr bwMode="auto">
        <a:xfrm>
          <a:off x="238125" y="12163425"/>
          <a:ext cx="5476875" cy="4581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henetwork.carbontrust.co.uk/Documents%20and%20Settings/cec/Local%20Settings/Temporary%20Internet%20Files/OLK470/LACM6%20Carbon%20Management%20Projects%20Register%20v1.2%20(testing%20ver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enetwork.carbontrust.co.uk/Documents%20and%20Settings/cec/Local%20Settings/Temporary%20Internet%20Files/OLK470/Background%20tools%20and%20development/PRE-dc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Instructions"/>
      <sheetName val="Project list"/>
      <sheetName val="Project assessment"/>
      <sheetName val="Reduction plan"/>
      <sheetName val="MACC"/>
      <sheetName val="References and lookup"/>
      <sheetName val="Conversion assistant"/>
    </sheetNames>
    <sheetDataSet>
      <sheetData sheetId="0"/>
      <sheetData sheetId="1"/>
      <sheetData sheetId="2"/>
      <sheetData sheetId="3"/>
      <sheetData sheetId="4"/>
      <sheetData sheetId="5"/>
      <sheetData sheetId="6"/>
      <sheetData sheetId="7">
        <row r="13">
          <cell r="B13" t="str">
            <v>Burning oil</v>
          </cell>
        </row>
        <row r="14">
          <cell r="B14" t="str">
            <v>Coal</v>
          </cell>
        </row>
        <row r="15">
          <cell r="B15" t="str">
            <v>Diesel</v>
          </cell>
        </row>
        <row r="16">
          <cell r="B16" t="str">
            <v>Electricity - CHP</v>
          </cell>
        </row>
        <row r="17">
          <cell r="B17" t="str">
            <v>Electricity (grid)</v>
          </cell>
        </row>
        <row r="18">
          <cell r="B18" t="str">
            <v>Electricity (onsite renewables)</v>
          </cell>
        </row>
        <row r="19">
          <cell r="B19" t="str">
            <v>Gas oil</v>
          </cell>
        </row>
        <row r="20">
          <cell r="B20" t="str">
            <v>LPG</v>
          </cell>
        </row>
        <row r="21">
          <cell r="B21" t="str">
            <v>Natural gas</v>
          </cell>
        </row>
        <row r="22">
          <cell r="B22" t="str">
            <v>Petrol</v>
          </cell>
        </row>
        <row r="23">
          <cell r="B23" t="str">
            <v>Waste</v>
          </cell>
        </row>
        <row r="24">
          <cell r="B24" t="str">
            <v>Water</v>
          </cell>
        </row>
        <row r="25">
          <cell r="B25" t="str">
            <v>Wood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ference Data"/>
      <sheetName val="Data Lookup Validation"/>
      <sheetName val="Error Log"/>
      <sheetName val="Help &amp; Guidance"/>
      <sheetName val="ReadMeFirst"/>
      <sheetName val="Survey Details"/>
      <sheetName val="Purchased Energy"/>
      <sheetName val="Recommendations"/>
      <sheetName val="Classification"/>
      <sheetName val="EMA Data"/>
      <sheetName val="CCASS EMA"/>
      <sheetName val="EMM Data"/>
      <sheetName val="Organisation Drivers"/>
      <sheetName val="RPT - Purchased Energy Output"/>
      <sheetName val="RPT - EMA Summary"/>
      <sheetName val="RPT - CCASS EMA Summary"/>
      <sheetName val="CO_DCSCheck"/>
      <sheetName val="CO_SiteSurvey"/>
      <sheetName val="CO_PESummary"/>
      <sheetName val="CO_PEByFuel"/>
      <sheetName val="CO_Recommendations"/>
    </sheetNames>
    <sheetDataSet>
      <sheetData sheetId="0">
        <row r="1995">
          <cell r="B1995" t="str">
            <v>Select Units!!!</v>
          </cell>
        </row>
        <row r="1996">
          <cell r="B1996" t="str">
            <v>£</v>
          </cell>
        </row>
        <row r="1997">
          <cell r="B1997" t="str">
            <v>£ 000's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3"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8"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6"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4" Type="http://schemas.openxmlformats.org/officeDocument/2006/relationships/vmlDrawing" Target="../drawings/vmlDrawing2.vml"/><Relationship Id="rId7"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2"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7"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5"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3" Type="http://schemas.openxmlformats.org/officeDocument/2006/relationships/drawing" Target="../drawings/drawing2.xml"/><Relationship Id="rId2"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6"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0"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9"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6"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4"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2" Type="http://schemas.openxmlformats.org/officeDocument/2006/relationships/printerSettings" Target="../printerSettings/printerSettings2.bin"/><Relationship Id="rId5"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5"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3"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8"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0"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9"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4"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9"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4"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2"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27"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0"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35"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1" Type="http://schemas.openxmlformats.org/officeDocument/2006/relationships/hyperlink" Target="http://www.lse.ac.uk/intranet/LSEServices/estatesDivision/sustainableLSE/policyObjectives/communityInvolvement/LUEG/CarbonReduction/Documents/Resources/091016LUEG-CRSG-CarbonTrust-HERapidAssessmentPotential.xls"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www.defra.gov.uk/environment/business/envrp/pdf/conversion-factors.pdf%20-%20Annex%206" TargetMode="External"/><Relationship Id="rId7" Type="http://schemas.openxmlformats.org/officeDocument/2006/relationships/vmlDrawing" Target="../drawings/vmlDrawing5.vml"/><Relationship Id="rId2" Type="http://schemas.openxmlformats.org/officeDocument/2006/relationships/hyperlink" Target="http://www.defra.gov.uk/environment/business/envrp/pdf/conversion-factors.pdf%20-%20Annex%206" TargetMode="External"/><Relationship Id="rId1" Type="http://schemas.openxmlformats.org/officeDocument/2006/relationships/hyperlink" Target="http://www.defra.gov.uk/environment/business/envrp/pdf/conversion-factors.pdf%20-%20Annex%206" TargetMode="External"/><Relationship Id="rId6" Type="http://schemas.openxmlformats.org/officeDocument/2006/relationships/drawing" Target="../drawings/drawing6.xml"/><Relationship Id="rId5" Type="http://schemas.openxmlformats.org/officeDocument/2006/relationships/printerSettings" Target="../printerSettings/printerSettings7.bin"/><Relationship Id="rId4" Type="http://schemas.openxmlformats.org/officeDocument/2006/relationships/hyperlink" Target="http://www.defra.gov.uk/environment/business/envrp/pdf/conversion-factors.pdf%20-%20Annex%206" TargetMode="External"/></Relationships>
</file>

<file path=xl/worksheets/sheet1.xml><?xml version="1.0" encoding="utf-8"?>
<worksheet xmlns="http://schemas.openxmlformats.org/spreadsheetml/2006/main" xmlns:r="http://schemas.openxmlformats.org/officeDocument/2006/relationships">
  <sheetPr codeName="Sheet4"/>
  <dimension ref="A2:K67"/>
  <sheetViews>
    <sheetView topLeftCell="A31" workbookViewId="0">
      <selection activeCell="E24" sqref="E24"/>
    </sheetView>
  </sheetViews>
  <sheetFormatPr defaultRowHeight="12.75"/>
  <cols>
    <col min="1" max="1" width="2" style="13" customWidth="1"/>
    <col min="2" max="2" width="10" style="13" customWidth="1"/>
    <col min="3" max="3" width="26.7109375" style="13" customWidth="1"/>
    <col min="4" max="4" width="17.42578125" style="13" customWidth="1"/>
    <col min="5" max="5" width="15.85546875" style="13" customWidth="1"/>
    <col min="6" max="6" width="14.140625" style="13" customWidth="1"/>
    <col min="7" max="7" width="13.7109375" style="13" customWidth="1"/>
    <col min="8" max="8" width="13.85546875" style="13" customWidth="1"/>
    <col min="9" max="9" width="13.7109375" style="13" customWidth="1"/>
    <col min="10" max="10" width="12.85546875" style="13" bestFit="1" customWidth="1"/>
    <col min="11" max="11" width="12.42578125" style="13" customWidth="1"/>
    <col min="12" max="12" width="13.7109375" style="13" customWidth="1"/>
    <col min="13" max="13" width="12.85546875" style="13" customWidth="1"/>
    <col min="14" max="16384" width="9.140625" style="13"/>
  </cols>
  <sheetData>
    <row r="2" spans="1:7" ht="20.25">
      <c r="B2" s="189" t="s">
        <v>224</v>
      </c>
    </row>
    <row r="3" spans="1:7">
      <c r="B3" s="13" t="s">
        <v>0</v>
      </c>
    </row>
    <row r="5" spans="1:7">
      <c r="B5" s="247" t="s">
        <v>1</v>
      </c>
      <c r="C5" s="247"/>
      <c r="D5" s="247"/>
      <c r="E5" s="247"/>
    </row>
    <row r="6" spans="1:7">
      <c r="B6" s="14">
        <v>40000</v>
      </c>
      <c r="C6" s="244" t="s">
        <v>219</v>
      </c>
      <c r="D6" s="245"/>
      <c r="E6" s="246"/>
    </row>
    <row r="7" spans="1:7">
      <c r="B7" s="190">
        <v>40002</v>
      </c>
      <c r="C7" s="221" t="s">
        <v>218</v>
      </c>
      <c r="D7" s="221"/>
      <c r="E7" s="156"/>
    </row>
    <row r="8" spans="1:7">
      <c r="B8" s="190">
        <v>40002</v>
      </c>
      <c r="C8" s="221" t="s">
        <v>226</v>
      </c>
      <c r="D8" s="221"/>
      <c r="E8" s="21"/>
    </row>
    <row r="9" spans="1:7" ht="27" customHeight="1">
      <c r="B9" s="14">
        <v>40003</v>
      </c>
      <c r="C9" s="240" t="s">
        <v>241</v>
      </c>
      <c r="D9" s="241"/>
      <c r="E9" s="242"/>
    </row>
    <row r="10" spans="1:7">
      <c r="E10" s="26" t="s">
        <v>107</v>
      </c>
    </row>
    <row r="11" spans="1:7">
      <c r="A11" s="22"/>
      <c r="B11" s="26" t="s">
        <v>225</v>
      </c>
      <c r="C11" s="22"/>
      <c r="D11" s="20"/>
      <c r="E11" s="3"/>
      <c r="F11" s="24" t="s">
        <v>127</v>
      </c>
      <c r="G11" s="15"/>
    </row>
    <row r="12" spans="1:7">
      <c r="A12" s="22"/>
      <c r="B12" s="243"/>
      <c r="C12" s="243"/>
      <c r="D12" s="25"/>
      <c r="E12" s="4"/>
      <c r="F12" s="24" t="s">
        <v>126</v>
      </c>
      <c r="G12" s="15"/>
    </row>
    <row r="13" spans="1:7">
      <c r="A13" s="22"/>
      <c r="B13" s="23"/>
      <c r="C13" s="23"/>
      <c r="E13" s="23"/>
    </row>
    <row r="18" spans="1:11" ht="15.75" customHeight="1"/>
    <row r="19" spans="1:11" ht="15.75" customHeight="1"/>
    <row r="20" spans="1:11" ht="15.75" customHeight="1"/>
    <row r="21" spans="1:11" ht="15.75">
      <c r="B21" s="27" t="s">
        <v>187</v>
      </c>
    </row>
    <row r="22" spans="1:11" s="16" customFormat="1" ht="39.75">
      <c r="A22" s="19"/>
      <c r="B22" s="19"/>
      <c r="C22" s="1" t="s">
        <v>170</v>
      </c>
      <c r="D22" s="1" t="s">
        <v>205</v>
      </c>
      <c r="E22" s="1" t="s">
        <v>105</v>
      </c>
      <c r="F22" s="1" t="s">
        <v>173</v>
      </c>
      <c r="G22" s="1" t="s">
        <v>174</v>
      </c>
      <c r="H22" s="1" t="s">
        <v>104</v>
      </c>
      <c r="I22" s="1" t="s">
        <v>131</v>
      </c>
    </row>
    <row r="23" spans="1:11" ht="25.5">
      <c r="A23" s="20"/>
      <c r="B23" s="20"/>
      <c r="C23" s="2" t="s">
        <v>238</v>
      </c>
      <c r="D23" s="2" t="s">
        <v>242</v>
      </c>
      <c r="E23" s="3">
        <v>36666</v>
      </c>
      <c r="F23" s="170">
        <f t="shared" ref="F23:F29" si="0">IF(D40="",IF(E23="",0,E23*(VLOOKUP(D23,Building_Benchmarks,3,FALSE))),D40)</f>
        <v>6264386.0999999996</v>
      </c>
      <c r="G23" s="170">
        <f t="shared" ref="G23:G29" si="1">IF(E40="",IF(E23="",0,E23*(VLOOKUP(D23,Building_Benchmarks,2,FALSE))),E40)</f>
        <v>11157463.800000001</v>
      </c>
      <c r="H23" s="4">
        <f>(F23*References!$C$27+Baseline!G23*References!$C$26)/1000</f>
        <v>7150.5047067930009</v>
      </c>
      <c r="I23" s="30">
        <f>(F23*References!$C$57+G23*References!$C$56)/100</f>
        <v>1080528.6869999999</v>
      </c>
      <c r="J23" s="17"/>
    </row>
    <row r="24" spans="1:11" ht="25.5">
      <c r="A24" s="20"/>
      <c r="B24" s="20"/>
      <c r="C24" s="2" t="str">
        <f t="shared" ref="C24:C29" si="2">C41</f>
        <v>Buildings Category 2</v>
      </c>
      <c r="D24" s="2" t="s">
        <v>229</v>
      </c>
      <c r="E24" s="3">
        <v>100000</v>
      </c>
      <c r="F24" s="170">
        <f t="shared" si="0"/>
        <v>12000000</v>
      </c>
      <c r="G24" s="170">
        <f t="shared" si="1"/>
        <v>7600000</v>
      </c>
      <c r="H24" s="4">
        <f>(F24*References!$C$27+Baseline!G24*References!$C$26)/1000</f>
        <v>6300.9920000000002</v>
      </c>
      <c r="I24" s="30">
        <f>(F24*References!$C$57+G24*References!$C$56)/100</f>
        <v>968000</v>
      </c>
    </row>
    <row r="25" spans="1:11" ht="25.5">
      <c r="A25" s="20"/>
      <c r="B25" s="20"/>
      <c r="C25" s="2" t="str">
        <f t="shared" si="2"/>
        <v>Buildings Category 3</v>
      </c>
      <c r="D25" s="2" t="s">
        <v>231</v>
      </c>
      <c r="E25" s="3">
        <v>8000</v>
      </c>
      <c r="F25" s="170">
        <f t="shared" si="0"/>
        <v>1960000</v>
      </c>
      <c r="G25" s="170">
        <f t="shared" si="1"/>
        <v>3232000</v>
      </c>
      <c r="H25" s="4">
        <f>(F25*References!$C$27+Baseline!G25*References!$C$26)/1000</f>
        <v>2098.1898400000005</v>
      </c>
      <c r="I25" s="30">
        <f>(F25*References!$C$57+G25*References!$C$56)/100</f>
        <v>317360</v>
      </c>
    </row>
    <row r="26" spans="1:11">
      <c r="A26" s="20"/>
      <c r="B26" s="20"/>
      <c r="C26" s="2" t="str">
        <f t="shared" si="2"/>
        <v>Buildings Category 4</v>
      </c>
      <c r="D26" s="2"/>
      <c r="E26" s="3"/>
      <c r="F26" s="170">
        <f t="shared" si="0"/>
        <v>0</v>
      </c>
      <c r="G26" s="170">
        <f t="shared" si="1"/>
        <v>0</v>
      </c>
      <c r="H26" s="4">
        <f>(F26*References!$C$27+Baseline!G26*References!$C$26)/1000</f>
        <v>0</v>
      </c>
      <c r="I26" s="30">
        <f>(F26*References!$C$57+G26*References!$C$56)/100</f>
        <v>0</v>
      </c>
    </row>
    <row r="27" spans="1:11">
      <c r="A27" s="20"/>
      <c r="B27" s="20"/>
      <c r="C27" s="2" t="str">
        <f t="shared" si="2"/>
        <v>Buildings Category 5</v>
      </c>
      <c r="D27" s="2"/>
      <c r="E27" s="3"/>
      <c r="F27" s="170">
        <f t="shared" si="0"/>
        <v>0</v>
      </c>
      <c r="G27" s="170">
        <f t="shared" si="1"/>
        <v>0</v>
      </c>
      <c r="H27" s="4">
        <f>(F27*References!$C$27+Baseline!G27*References!$C$26)/1000</f>
        <v>0</v>
      </c>
      <c r="I27" s="30">
        <f>(F27*References!$C$57+G27*References!$C$56)/100</f>
        <v>0</v>
      </c>
    </row>
    <row r="28" spans="1:11">
      <c r="A28" s="20"/>
      <c r="B28" s="20"/>
      <c r="C28" s="2" t="str">
        <f t="shared" si="2"/>
        <v>Buildings Category 6</v>
      </c>
      <c r="D28" s="2"/>
      <c r="E28" s="3"/>
      <c r="F28" s="170">
        <f t="shared" si="0"/>
        <v>0</v>
      </c>
      <c r="G28" s="170">
        <f t="shared" si="1"/>
        <v>0</v>
      </c>
      <c r="H28" s="4">
        <f>(F28*References!$C$27+Baseline!G28*References!$C$26)/1000</f>
        <v>0</v>
      </c>
      <c r="I28" s="30">
        <f>(F28*References!$C$57+G28*References!$C$56)/100</f>
        <v>0</v>
      </c>
    </row>
    <row r="29" spans="1:11">
      <c r="A29" s="20"/>
      <c r="B29" s="20"/>
      <c r="C29" s="2" t="str">
        <f t="shared" si="2"/>
        <v>Buildings Category 7</v>
      </c>
      <c r="D29" s="2"/>
      <c r="E29" s="3"/>
      <c r="F29" s="170">
        <f t="shared" si="0"/>
        <v>0</v>
      </c>
      <c r="G29" s="170">
        <f t="shared" si="1"/>
        <v>0</v>
      </c>
      <c r="H29" s="4">
        <f>(F29*References!$C$27+Baseline!G29*References!$C$26)/1000</f>
        <v>0</v>
      </c>
      <c r="I29" s="30">
        <f>(F29*References!$C$57+G29*References!$C$56)/100</f>
        <v>0</v>
      </c>
    </row>
    <row r="30" spans="1:11">
      <c r="C30" s="108" t="s">
        <v>3</v>
      </c>
      <c r="D30" s="108"/>
      <c r="E30" s="9">
        <f>SUM(E23:E28)</f>
        <v>144666</v>
      </c>
      <c r="F30" s="9">
        <f>SUM(F23:F29)</f>
        <v>20224386.100000001</v>
      </c>
      <c r="G30" s="9">
        <f>SUM(G23:G29)</f>
        <v>21989463.800000001</v>
      </c>
      <c r="H30" s="9">
        <f>SUM(H23:H29)</f>
        <v>15549.686546793002</v>
      </c>
      <c r="I30" s="31">
        <f>SUM(I23:I29)</f>
        <v>2365888.6869999999</v>
      </c>
    </row>
    <row r="31" spans="1:11">
      <c r="C31" s="87"/>
      <c r="D31" s="87"/>
      <c r="E31" s="87"/>
      <c r="F31" s="87"/>
      <c r="G31" s="87"/>
      <c r="H31" s="22"/>
    </row>
    <row r="32" spans="1:11">
      <c r="C32" s="184" t="s">
        <v>203</v>
      </c>
      <c r="D32" s="2"/>
      <c r="E32" s="3"/>
      <c r="F32" s="170">
        <f>IF(D48="",IF(OR(E32="",D32=""),0,E32*(VLOOKUP(D32,References!$B$6:$D$10,3,FALSE))),D48)</f>
        <v>0</v>
      </c>
      <c r="G32" s="170">
        <f>IF(E48="",IF(OR(E32="",D32=""),0,E32*(VLOOKUP(D32,References!$B$6:$D$10,2,FALSE))),E48)</f>
        <v>0</v>
      </c>
      <c r="H32" s="4">
        <f>(F32*References!$C$27+Baseline!G32*References!$C$26)/1000</f>
        <v>0</v>
      </c>
      <c r="I32" s="30">
        <f>(F32*References!$C$57+G32*References!$C$56)/100</f>
        <v>0</v>
      </c>
      <c r="K32" s="18"/>
    </row>
    <row r="33" spans="2:11">
      <c r="C33" s="23"/>
      <c r="D33" s="23"/>
      <c r="E33" s="23"/>
      <c r="F33" s="23"/>
      <c r="G33" s="23"/>
      <c r="H33" s="23"/>
    </row>
    <row r="34" spans="2:11" ht="15.75">
      <c r="B34" s="27" t="s">
        <v>188</v>
      </c>
      <c r="K34" s="18"/>
    </row>
    <row r="35" spans="2:11" ht="13.5" thickBot="1"/>
    <row r="36" spans="2:11">
      <c r="B36" s="110"/>
      <c r="C36" s="111"/>
      <c r="D36" s="111"/>
      <c r="E36" s="111"/>
      <c r="F36" s="112"/>
    </row>
    <row r="37" spans="2:11" ht="15.75">
      <c r="B37" s="113"/>
      <c r="C37" s="114" t="s">
        <v>207</v>
      </c>
      <c r="D37" s="50"/>
      <c r="E37" s="50"/>
      <c r="F37" s="115"/>
    </row>
    <row r="38" spans="2:11">
      <c r="B38" s="113"/>
      <c r="C38" s="63"/>
      <c r="D38" s="63"/>
      <c r="E38" s="63"/>
      <c r="F38" s="115"/>
    </row>
    <row r="39" spans="2:11" ht="25.5">
      <c r="B39" s="116"/>
      <c r="C39" s="117" t="s">
        <v>170</v>
      </c>
      <c r="D39" s="118" t="s">
        <v>171</v>
      </c>
      <c r="E39" s="118" t="s">
        <v>172</v>
      </c>
      <c r="F39" s="119"/>
    </row>
    <row r="40" spans="2:11">
      <c r="B40" s="116"/>
      <c r="C40" s="142" t="s">
        <v>189</v>
      </c>
      <c r="D40" s="150"/>
      <c r="E40" s="150"/>
      <c r="F40" s="119"/>
    </row>
    <row r="41" spans="2:11">
      <c r="B41" s="116"/>
      <c r="C41" s="142" t="s">
        <v>190</v>
      </c>
      <c r="D41" s="150"/>
      <c r="E41" s="150"/>
      <c r="F41" s="119"/>
    </row>
    <row r="42" spans="2:11">
      <c r="B42" s="116"/>
      <c r="C42" s="142" t="s">
        <v>191</v>
      </c>
      <c r="D42" s="150"/>
      <c r="E42" s="150"/>
      <c r="F42" s="119"/>
      <c r="K42" s="18"/>
    </row>
    <row r="43" spans="2:11">
      <c r="B43" s="116"/>
      <c r="C43" s="142" t="s">
        <v>192</v>
      </c>
      <c r="D43" s="150"/>
      <c r="E43" s="150"/>
      <c r="F43" s="119"/>
      <c r="K43" s="18"/>
    </row>
    <row r="44" spans="2:11">
      <c r="B44" s="116"/>
      <c r="C44" s="142" t="s">
        <v>193</v>
      </c>
      <c r="D44" s="150"/>
      <c r="E44" s="150"/>
      <c r="F44" s="119"/>
      <c r="K44" s="18"/>
    </row>
    <row r="45" spans="2:11">
      <c r="B45" s="116"/>
      <c r="C45" s="142" t="s">
        <v>194</v>
      </c>
      <c r="D45" s="150"/>
      <c r="E45" s="150"/>
      <c r="F45" s="119"/>
      <c r="K45" s="18"/>
    </row>
    <row r="46" spans="2:11">
      <c r="B46" s="116"/>
      <c r="C46" s="142" t="s">
        <v>195</v>
      </c>
      <c r="D46" s="150"/>
      <c r="E46" s="150"/>
      <c r="F46" s="119"/>
      <c r="K46" s="18"/>
    </row>
    <row r="47" spans="2:11">
      <c r="B47" s="164"/>
      <c r="C47" s="165"/>
      <c r="D47" s="166"/>
      <c r="E47" s="166"/>
      <c r="F47" s="167"/>
      <c r="K47" s="18"/>
    </row>
    <row r="48" spans="2:11">
      <c r="B48" s="162"/>
      <c r="C48" s="142" t="s">
        <v>203</v>
      </c>
      <c r="D48" s="150"/>
      <c r="E48" s="150"/>
      <c r="F48" s="163"/>
      <c r="K48" s="18"/>
    </row>
    <row r="49" spans="1:11" ht="13.5" thickBot="1">
      <c r="B49" s="120"/>
      <c r="C49" s="121"/>
      <c r="D49" s="121"/>
      <c r="E49" s="121"/>
      <c r="F49" s="122"/>
      <c r="K49" s="18"/>
    </row>
    <row r="50" spans="1:11" ht="13.5" thickBot="1">
      <c r="B50" s="22"/>
      <c r="C50" s="123"/>
      <c r="D50" s="123"/>
      <c r="E50" s="123"/>
      <c r="F50" s="123"/>
      <c r="G50" s="123"/>
      <c r="H50" s="22"/>
      <c r="I50" s="22"/>
      <c r="K50" s="18"/>
    </row>
    <row r="51" spans="1:11">
      <c r="B51" s="110"/>
      <c r="C51" s="111"/>
      <c r="D51" s="111"/>
      <c r="E51" s="111"/>
      <c r="F51" s="111"/>
      <c r="G51" s="91"/>
      <c r="H51" s="178"/>
      <c r="I51" s="179"/>
      <c r="J51" s="21"/>
      <c r="K51" s="18"/>
    </row>
    <row r="52" spans="1:11" ht="18.75">
      <c r="B52" s="113"/>
      <c r="C52" s="114" t="s">
        <v>208</v>
      </c>
      <c r="D52" s="50"/>
      <c r="E52" s="50"/>
      <c r="F52" s="50"/>
      <c r="H52" s="180"/>
      <c r="I52" s="181"/>
      <c r="J52" s="21"/>
      <c r="K52" s="18"/>
    </row>
    <row r="53" spans="1:11">
      <c r="B53" s="113"/>
      <c r="C53" s="63"/>
      <c r="D53" s="63"/>
      <c r="E53" s="63"/>
      <c r="F53" s="168"/>
      <c r="G53" s="174"/>
      <c r="H53" s="180"/>
      <c r="I53" s="181"/>
      <c r="J53" s="21"/>
      <c r="K53" s="18"/>
    </row>
    <row r="54" spans="1:11" ht="25.5">
      <c r="B54" s="116"/>
      <c r="C54" s="117" t="s">
        <v>170</v>
      </c>
      <c r="D54" s="124" t="s">
        <v>118</v>
      </c>
      <c r="E54" s="124" t="s">
        <v>119</v>
      </c>
      <c r="F54" s="124" t="s">
        <v>204</v>
      </c>
      <c r="G54" s="15" t="s">
        <v>217</v>
      </c>
      <c r="H54" s="1" t="s">
        <v>130</v>
      </c>
      <c r="I54" s="181"/>
      <c r="J54" s="21"/>
      <c r="K54" s="18"/>
    </row>
    <row r="55" spans="1:11">
      <c r="B55" s="116"/>
      <c r="C55" s="142" t="s">
        <v>196</v>
      </c>
      <c r="D55" s="150"/>
      <c r="E55" s="150"/>
      <c r="F55" s="150"/>
      <c r="G55" s="4">
        <f t="shared" ref="G55:G61" si="3">SUM(D55:F55)</f>
        <v>0</v>
      </c>
      <c r="H55" s="30">
        <f>((D55*References!$C$65)+(Baseline!E55*References!$C$66)+(Baseline!F55*References!$C$67))/100</f>
        <v>0</v>
      </c>
      <c r="I55" s="181"/>
      <c r="J55" s="21"/>
      <c r="K55" s="18"/>
    </row>
    <row r="56" spans="1:11">
      <c r="B56" s="116"/>
      <c r="C56" s="142" t="s">
        <v>239</v>
      </c>
      <c r="D56" s="150"/>
      <c r="E56" s="150"/>
      <c r="F56" s="150"/>
      <c r="G56" s="4">
        <f t="shared" si="3"/>
        <v>0</v>
      </c>
      <c r="H56" s="30">
        <f>((D56*References!$C$65)+(Baseline!E56*References!$C$66)+(Baseline!F56*References!$C$67))/100</f>
        <v>0</v>
      </c>
      <c r="I56" s="181"/>
      <c r="J56" s="21"/>
      <c r="K56" s="18"/>
    </row>
    <row r="57" spans="1:11">
      <c r="B57" s="116"/>
      <c r="C57" s="142" t="s">
        <v>198</v>
      </c>
      <c r="D57" s="150"/>
      <c r="E57" s="150"/>
      <c r="F57" s="150"/>
      <c r="G57" s="4">
        <f t="shared" si="3"/>
        <v>0</v>
      </c>
      <c r="H57" s="30">
        <f>((D57*References!$C$65)+(Baseline!E57*References!$C$66)+(Baseline!F57*References!$C$67))/100</f>
        <v>0</v>
      </c>
      <c r="I57" s="181"/>
      <c r="J57" s="21"/>
      <c r="K57" s="18"/>
    </row>
    <row r="58" spans="1:11">
      <c r="B58" s="116"/>
      <c r="C58" s="142" t="s">
        <v>199</v>
      </c>
      <c r="D58" s="150"/>
      <c r="E58" s="150"/>
      <c r="F58" s="150"/>
      <c r="G58" s="4">
        <f t="shared" si="3"/>
        <v>0</v>
      </c>
      <c r="H58" s="30">
        <f>((D58*References!$C$65)+(Baseline!E58*References!$C$66)+(Baseline!F58*References!$C$67))/100</f>
        <v>0</v>
      </c>
      <c r="I58" s="181"/>
      <c r="J58" s="21"/>
      <c r="K58" s="18"/>
    </row>
    <row r="59" spans="1:11">
      <c r="B59" s="116"/>
      <c r="C59" s="142" t="s">
        <v>200</v>
      </c>
      <c r="D59" s="150"/>
      <c r="E59" s="150"/>
      <c r="F59" s="150"/>
      <c r="G59" s="4">
        <f t="shared" si="3"/>
        <v>0</v>
      </c>
      <c r="H59" s="30">
        <f>((D59*References!$C$65)+(Baseline!E59*References!$C$66)+(Baseline!F59*References!$C$67))/100</f>
        <v>0</v>
      </c>
      <c r="I59" s="181"/>
      <c r="J59" s="21"/>
      <c r="K59" s="18"/>
    </row>
    <row r="60" spans="1:11">
      <c r="B60" s="116"/>
      <c r="C60" s="142" t="s">
        <v>201</v>
      </c>
      <c r="D60" s="150"/>
      <c r="E60" s="150"/>
      <c r="F60" s="150"/>
      <c r="G60" s="4">
        <f t="shared" si="3"/>
        <v>0</v>
      </c>
      <c r="H60" s="30">
        <f>((D60*References!$C$65)+(Baseline!E60*References!$C$66)+(Baseline!F60*References!$C$67))/100</f>
        <v>0</v>
      </c>
      <c r="I60" s="181"/>
      <c r="J60" s="21"/>
      <c r="K60" s="18"/>
    </row>
    <row r="61" spans="1:11">
      <c r="B61" s="116"/>
      <c r="C61" s="142" t="s">
        <v>202</v>
      </c>
      <c r="D61" s="150"/>
      <c r="E61" s="150"/>
      <c r="F61" s="150"/>
      <c r="G61" s="4">
        <f t="shared" si="3"/>
        <v>0</v>
      </c>
      <c r="H61" s="30">
        <f>((D61*References!$C$65)+(Baseline!E61*References!$C$66)+(Baseline!F61*References!$C$67))/100</f>
        <v>0</v>
      </c>
      <c r="I61" s="181"/>
      <c r="J61" s="21"/>
      <c r="K61" s="18"/>
    </row>
    <row r="62" spans="1:11">
      <c r="B62" s="162"/>
      <c r="C62" s="165"/>
      <c r="D62" s="166"/>
      <c r="E62" s="166"/>
      <c r="F62" s="166"/>
      <c r="H62" s="34"/>
      <c r="I62" s="181"/>
      <c r="J62" s="21"/>
      <c r="K62" s="18"/>
    </row>
    <row r="63" spans="1:11">
      <c r="B63" s="162"/>
      <c r="C63" s="142" t="s">
        <v>203</v>
      </c>
      <c r="D63" s="150"/>
      <c r="E63" s="150"/>
      <c r="F63" s="150"/>
      <c r="G63" s="4">
        <f>SUM(D63:F63)</f>
        <v>0</v>
      </c>
      <c r="H63" s="30">
        <f>((D63*References!$C$65)+(Baseline!E63*References!$C$66)+(Baseline!F63*References!$C$67))/100</f>
        <v>0</v>
      </c>
      <c r="I63" s="181"/>
      <c r="J63" s="21"/>
      <c r="K63" s="18"/>
    </row>
    <row r="64" spans="1:11">
      <c r="A64" s="182"/>
      <c r="B64" s="164"/>
      <c r="C64" s="165"/>
      <c r="D64" s="166"/>
      <c r="E64" s="166"/>
      <c r="F64" s="183"/>
      <c r="G64" s="176"/>
      <c r="H64" s="176"/>
      <c r="I64" s="181"/>
      <c r="J64" s="21"/>
      <c r="K64" s="18"/>
    </row>
    <row r="65" spans="2:11">
      <c r="B65" s="162"/>
      <c r="C65" s="184" t="s">
        <v>209</v>
      </c>
      <c r="D65" s="4">
        <f>SUM(D55:D61)</f>
        <v>0</v>
      </c>
      <c r="E65" s="4">
        <f>SUM(E55:E61)</f>
        <v>0</v>
      </c>
      <c r="F65" s="4">
        <f>SUM(F55:F61)</f>
        <v>0</v>
      </c>
      <c r="G65" s="4">
        <f>SUM(D65:F65)</f>
        <v>0</v>
      </c>
      <c r="H65" s="30">
        <f>SUM(H55:H61)</f>
        <v>0</v>
      </c>
      <c r="I65" s="181"/>
      <c r="J65" s="21"/>
      <c r="K65" s="18"/>
    </row>
    <row r="66" spans="2:11" ht="13.5" thickBot="1">
      <c r="B66" s="120"/>
      <c r="C66" s="121"/>
      <c r="D66" s="121"/>
      <c r="E66" s="121"/>
      <c r="F66" s="175"/>
      <c r="G66" s="177"/>
      <c r="H66" s="177"/>
      <c r="I66" s="169"/>
      <c r="J66" s="21"/>
      <c r="K66" s="18"/>
    </row>
    <row r="67" spans="2:11">
      <c r="B67" s="23"/>
      <c r="C67" s="23"/>
      <c r="D67" s="23"/>
      <c r="E67" s="23"/>
      <c r="F67" s="23"/>
      <c r="G67" s="23"/>
      <c r="H67" s="23"/>
      <c r="I67" s="23"/>
    </row>
  </sheetData>
  <mergeCells count="4">
    <mergeCell ref="C9:E9"/>
    <mergeCell ref="B12:C12"/>
    <mergeCell ref="C6:E6"/>
    <mergeCell ref="B5:E5"/>
  </mergeCells>
  <phoneticPr fontId="5" type="noConversion"/>
  <dataValidations xWindow="451" yWindow="408" count="1">
    <dataValidation type="list" allowBlank="1" showInputMessage="1" showErrorMessage="1" sqref="D23:D29 D32">
      <formula1>Building_Type</formula1>
    </dataValidation>
  </dataValidations>
  <pageMargins left="0.75" right="0.75" top="1" bottom="1" header="0.5" footer="0.5"/>
  <pageSetup orientation="portrait"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codeName="Sheet3"/>
  <dimension ref="A1:X480"/>
  <sheetViews>
    <sheetView topLeftCell="A52" zoomScale="85" workbookViewId="0">
      <pane xSplit="5" topLeftCell="F1" activePane="topRight" state="frozen"/>
      <selection activeCell="B1" sqref="B1"/>
      <selection pane="topRight" activeCell="T22" sqref="T22:T36"/>
    </sheetView>
  </sheetViews>
  <sheetFormatPr defaultRowHeight="12.75" outlineLevelCol="1"/>
  <cols>
    <col min="1" max="1" width="2" style="13" hidden="1" customWidth="1"/>
    <col min="2" max="2" width="10.28515625" style="13" customWidth="1"/>
    <col min="3" max="3" width="19.85546875" style="13" customWidth="1"/>
    <col min="4" max="4" width="20.140625" style="13" customWidth="1"/>
    <col min="5" max="5" width="20.28515625" style="16" customWidth="1"/>
    <col min="6" max="6" width="15.5703125" style="13" customWidth="1"/>
    <col min="7" max="7" width="13.7109375" style="13" customWidth="1"/>
    <col min="8" max="8" width="13.7109375" style="13" customWidth="1" outlineLevel="1"/>
    <col min="9" max="9" width="11.5703125" style="13" customWidth="1" outlineLevel="1"/>
    <col min="10" max="10" width="10.85546875" style="13" customWidth="1" outlineLevel="1"/>
    <col min="11" max="11" width="9.5703125" style="13" customWidth="1" outlineLevel="1"/>
    <col min="12" max="12" width="12.140625" style="13" customWidth="1" outlineLevel="1"/>
    <col min="13" max="13" width="15.140625" style="13" customWidth="1"/>
    <col min="14" max="14" width="11.85546875" style="13" customWidth="1"/>
    <col min="15" max="15" width="13.7109375" style="13" customWidth="1"/>
    <col min="16" max="16" width="16.42578125" style="13" customWidth="1"/>
    <col min="17" max="17" width="14.140625" style="13" customWidth="1"/>
    <col min="18" max="18" width="11.28515625" style="13" bestFit="1" customWidth="1"/>
    <col min="19" max="19" width="13.28515625" style="13" customWidth="1"/>
    <col min="20" max="21" width="10.7109375" style="13" customWidth="1"/>
    <col min="22" max="22" width="12.28515625" style="13" customWidth="1"/>
    <col min="23" max="16384" width="9.140625" style="13"/>
  </cols>
  <sheetData>
    <row r="1" spans="1:23" ht="18">
      <c r="C1" s="64" t="s">
        <v>4</v>
      </c>
    </row>
    <row r="3" spans="1:23">
      <c r="T3" s="13" t="s">
        <v>161</v>
      </c>
    </row>
    <row r="4" spans="1:23" ht="18">
      <c r="S4" s="158">
        <v>1</v>
      </c>
      <c r="T4" s="158">
        <v>2</v>
      </c>
      <c r="U4" s="159">
        <v>3</v>
      </c>
    </row>
    <row r="5" spans="1:23" ht="30">
      <c r="R5" s="160" t="s">
        <v>185</v>
      </c>
      <c r="S5" s="158">
        <v>4</v>
      </c>
      <c r="T5" s="159">
        <v>5</v>
      </c>
      <c r="U5" s="157">
        <v>6</v>
      </c>
    </row>
    <row r="6" spans="1:23" ht="18">
      <c r="S6" s="159">
        <v>7</v>
      </c>
      <c r="T6" s="157">
        <v>8</v>
      </c>
      <c r="U6" s="157">
        <v>9</v>
      </c>
    </row>
    <row r="8" spans="1:23" ht="25.5">
      <c r="C8" s="65" t="str">
        <f>Opportunities!C13</f>
        <v>halls</v>
      </c>
      <c r="D8" s="65" t="str">
        <f>C56</f>
        <v>Buildings Category 2</v>
      </c>
      <c r="E8" s="65" t="str">
        <f>C99</f>
        <v>Buildings Category 3</v>
      </c>
      <c r="F8" s="65" t="str">
        <f>C142</f>
        <v>Buildings Category 4</v>
      </c>
      <c r="G8" s="65" t="str">
        <f>C185</f>
        <v>Buildings Category 5</v>
      </c>
      <c r="H8" s="65" t="str">
        <f>C228</f>
        <v>Buildings Category 6</v>
      </c>
      <c r="I8" s="65" t="str">
        <f>C270</f>
        <v>Buildings Category 7</v>
      </c>
      <c r="T8" s="50"/>
      <c r="U8" s="50"/>
      <c r="V8" s="50"/>
    </row>
    <row r="9" spans="1:23" ht="28.5" customHeight="1">
      <c r="T9" s="50"/>
      <c r="U9" s="50"/>
      <c r="V9" s="50"/>
    </row>
    <row r="10" spans="1:23" ht="25.5">
      <c r="C10" s="65" t="str">
        <f>C318</f>
        <v>Transport Category 1</v>
      </c>
      <c r="D10" s="65" t="str">
        <f>C336</f>
        <v>business Air</v>
      </c>
      <c r="E10" s="65" t="str">
        <f>C354</f>
        <v>Transport Category 3</v>
      </c>
      <c r="F10" s="65" t="str">
        <f>C372</f>
        <v>Transport Category 4</v>
      </c>
      <c r="G10" s="65" t="str">
        <f>C390</f>
        <v>Transport Category 5</v>
      </c>
      <c r="H10" s="65" t="str">
        <f>C408</f>
        <v>Transport Category 6</v>
      </c>
      <c r="I10" s="65" t="str">
        <f>C426</f>
        <v>Transport Category 7</v>
      </c>
      <c r="J10" s="65" t="s">
        <v>106</v>
      </c>
    </row>
    <row r="11" spans="1:23">
      <c r="B11" s="66" t="s">
        <v>189</v>
      </c>
      <c r="C11" s="73"/>
      <c r="D11" s="22"/>
      <c r="E11" s="237"/>
      <c r="F11" s="22"/>
      <c r="G11" s="22"/>
      <c r="H11" s="22"/>
      <c r="I11" s="22"/>
      <c r="J11" s="22"/>
      <c r="K11" s="22"/>
      <c r="M11" s="22"/>
      <c r="N11" s="22"/>
      <c r="O11" s="22"/>
      <c r="P11" s="22"/>
      <c r="Q11" s="22"/>
      <c r="R11" s="22"/>
      <c r="S11" s="22"/>
      <c r="T11" s="22"/>
      <c r="U11" s="22"/>
    </row>
    <row r="12" spans="1:23" ht="58.5" customHeight="1">
      <c r="B12" s="20"/>
      <c r="C12" s="1" t="s">
        <v>151</v>
      </c>
      <c r="D12" s="1" t="s">
        <v>5</v>
      </c>
      <c r="E12" s="1" t="s">
        <v>6</v>
      </c>
      <c r="F12" s="1" t="s">
        <v>7</v>
      </c>
      <c r="G12" s="236" t="s">
        <v>8</v>
      </c>
      <c r="H12" s="1" t="s">
        <v>9</v>
      </c>
      <c r="I12" s="1" t="s">
        <v>10</v>
      </c>
      <c r="J12" s="1" t="s">
        <v>11</v>
      </c>
      <c r="K12" s="1" t="s">
        <v>109</v>
      </c>
      <c r="L12" s="75"/>
      <c r="M12" s="1" t="s">
        <v>112</v>
      </c>
      <c r="N12" s="1" t="s">
        <v>113</v>
      </c>
      <c r="O12" s="1" t="s">
        <v>114</v>
      </c>
      <c r="P12" s="1" t="s">
        <v>108</v>
      </c>
      <c r="Q12" s="1" t="s">
        <v>111</v>
      </c>
      <c r="R12" s="1" t="s">
        <v>150</v>
      </c>
      <c r="S12" s="1" t="s">
        <v>77</v>
      </c>
      <c r="T12" s="1" t="s">
        <v>147</v>
      </c>
      <c r="U12" s="161" t="s">
        <v>160</v>
      </c>
    </row>
    <row r="13" spans="1:23">
      <c r="A13" s="13" t="str">
        <f>IF(T13="YES",MAX($A$12:A12)+1,"")</f>
        <v/>
      </c>
      <c r="B13" s="20"/>
      <c r="C13" s="5" t="str">
        <f>Baseline!C23</f>
        <v>halls</v>
      </c>
      <c r="D13" s="5" t="s">
        <v>15</v>
      </c>
      <c r="E13" s="5" t="s">
        <v>16</v>
      </c>
      <c r="F13" s="152">
        <v>0</v>
      </c>
      <c r="G13" s="234">
        <v>0</v>
      </c>
      <c r="H13" s="233">
        <v>2.9411764705882346E-2</v>
      </c>
      <c r="I13" s="231"/>
      <c r="J13" s="233">
        <v>0.05</v>
      </c>
      <c r="K13" s="235">
        <v>500</v>
      </c>
      <c r="L13" s="76"/>
      <c r="M13" s="37">
        <f>F13*G13*H13*I13*Baseline!$F$23</f>
        <v>0</v>
      </c>
      <c r="N13" s="37">
        <f>F13*G13*H13*J13*Baseline!$G$23</f>
        <v>0</v>
      </c>
      <c r="O13" s="60">
        <f>(M13*References!$C$27+N13*References!$C$26)/1000</f>
        <v>0</v>
      </c>
      <c r="P13" s="38">
        <f>O13*K13</f>
        <v>0</v>
      </c>
      <c r="Q13" s="38">
        <f>(M13*References!$C$57+Opportunities!N13*References!$C$56)/100</f>
        <v>0</v>
      </c>
      <c r="R13" s="35">
        <f>IF(ISERROR(P13/Q13),0,P13/Q13)</f>
        <v>0</v>
      </c>
      <c r="S13" s="36">
        <f>O13/'Graphs&amp;Analysis'!$D$24</f>
        <v>0</v>
      </c>
      <c r="T13" s="153"/>
      <c r="U13" s="153"/>
      <c r="W13" s="13" t="str">
        <f>IF(O13&gt;0,"Buildings","")</f>
        <v/>
      </c>
    </row>
    <row r="14" spans="1:23" ht="25.5" customHeight="1">
      <c r="A14" s="13" t="str">
        <f>IF(T14="YES",MAX($A$12:A13)+1,"")</f>
        <v/>
      </c>
      <c r="B14" s="20"/>
      <c r="C14" s="5" t="str">
        <f>C13</f>
        <v>halls</v>
      </c>
      <c r="D14" s="5" t="s">
        <v>17</v>
      </c>
      <c r="E14" s="5" t="s">
        <v>18</v>
      </c>
      <c r="F14" s="152"/>
      <c r="G14" s="234"/>
      <c r="H14" s="233">
        <v>2.9411764705882346E-2</v>
      </c>
      <c r="I14" s="231"/>
      <c r="J14" s="233">
        <v>0.05</v>
      </c>
      <c r="K14" s="235">
        <v>500</v>
      </c>
      <c r="L14" s="76"/>
      <c r="M14" s="37">
        <f>F14*G14*H14*I14*Baseline!$F$23</f>
        <v>0</v>
      </c>
      <c r="N14" s="37">
        <f>F14*G14*H14*J14*Baseline!$G$23</f>
        <v>0</v>
      </c>
      <c r="O14" s="60">
        <f>(M14*References!$C$27+N14*References!$C$26)/1000</f>
        <v>0</v>
      </c>
      <c r="P14" s="38">
        <f t="shared" ref="P14:P48" si="0">O14*K14</f>
        <v>0</v>
      </c>
      <c r="Q14" s="38">
        <f>(M14*References!$C$57+Opportunities!N14*References!$C$56)/100</f>
        <v>0</v>
      </c>
      <c r="R14" s="35">
        <f t="shared" ref="R14:R48" si="1">IF(ISERROR(P14/Q14),0,P14/Q14)</f>
        <v>0</v>
      </c>
      <c r="S14" s="36">
        <f>O14/'Graphs&amp;Analysis'!$D$24</f>
        <v>0</v>
      </c>
      <c r="T14" s="153"/>
      <c r="U14" s="153"/>
      <c r="W14" s="13" t="str">
        <f t="shared" ref="W14:W48" si="2">IF(O14&gt;0,"Buildings","")</f>
        <v/>
      </c>
    </row>
    <row r="15" spans="1:23">
      <c r="A15" s="13" t="str">
        <f>IF(T15="YES",MAX($A$12:A14)+1,"")</f>
        <v/>
      </c>
      <c r="B15" s="20"/>
      <c r="C15" s="5" t="str">
        <f t="shared" ref="C15:C48" si="3">C14</f>
        <v>halls</v>
      </c>
      <c r="D15" s="5" t="s">
        <v>24</v>
      </c>
      <c r="E15" s="5" t="s">
        <v>24</v>
      </c>
      <c r="F15" s="152"/>
      <c r="G15" s="234"/>
      <c r="H15" s="233">
        <v>0.5</v>
      </c>
      <c r="I15" s="233">
        <v>0.05</v>
      </c>
      <c r="J15" s="233">
        <v>0.02</v>
      </c>
      <c r="K15" s="235">
        <v>470</v>
      </c>
      <c r="L15" s="77"/>
      <c r="M15" s="37">
        <f>F15*G15*H15*I15*Baseline!$F$23</f>
        <v>0</v>
      </c>
      <c r="N15" s="37">
        <f>F15*G15*H15*J15*Baseline!$G$23</f>
        <v>0</v>
      </c>
      <c r="O15" s="60">
        <f>(M15*References!$C$27+N15*References!$C$26)/1000</f>
        <v>0</v>
      </c>
      <c r="P15" s="38">
        <f t="shared" si="0"/>
        <v>0</v>
      </c>
      <c r="Q15" s="38">
        <f>(M15*References!$C$57+Opportunities!N15*References!$C$56)/100</f>
        <v>0</v>
      </c>
      <c r="R15" s="35">
        <f t="shared" si="1"/>
        <v>0</v>
      </c>
      <c r="S15" s="36">
        <f>O15/'Graphs&amp;Analysis'!$D$24</f>
        <v>0</v>
      </c>
      <c r="T15" s="153"/>
      <c r="U15" s="153"/>
      <c r="W15" s="13" t="str">
        <f t="shared" si="2"/>
        <v/>
      </c>
    </row>
    <row r="16" spans="1:23">
      <c r="A16" s="13" t="str">
        <f>IF(T16="YES",MAX($A$12:A15)+1,"")</f>
        <v/>
      </c>
      <c r="B16" s="20"/>
      <c r="C16" s="5" t="str">
        <f t="shared" si="3"/>
        <v>halls</v>
      </c>
      <c r="D16" s="5" t="s">
        <v>25</v>
      </c>
      <c r="E16" s="5" t="s">
        <v>26</v>
      </c>
      <c r="F16" s="152"/>
      <c r="G16" s="234"/>
      <c r="H16" s="233">
        <v>0.5</v>
      </c>
      <c r="I16" s="233">
        <v>0.05</v>
      </c>
      <c r="J16" s="233">
        <v>0.02</v>
      </c>
      <c r="K16" s="235">
        <v>427</v>
      </c>
      <c r="L16" s="77"/>
      <c r="M16" s="37">
        <f>F16*G16*H16*I16*Baseline!$F$23</f>
        <v>0</v>
      </c>
      <c r="N16" s="37">
        <f>F16*G16*H16*J16*Baseline!$G$23</f>
        <v>0</v>
      </c>
      <c r="O16" s="60">
        <f>(M16*References!$C$27+N16*References!$C$26)/1000</f>
        <v>0</v>
      </c>
      <c r="P16" s="38">
        <f t="shared" si="0"/>
        <v>0</v>
      </c>
      <c r="Q16" s="38">
        <f>(M16*References!$C$57+Opportunities!N16*References!$C$56)/100</f>
        <v>0</v>
      </c>
      <c r="R16" s="35">
        <f t="shared" si="1"/>
        <v>0</v>
      </c>
      <c r="S16" s="36">
        <f>O16/'Graphs&amp;Analysis'!$D$24</f>
        <v>0</v>
      </c>
      <c r="T16" s="153"/>
      <c r="U16" s="153"/>
      <c r="W16" s="13" t="str">
        <f t="shared" si="2"/>
        <v/>
      </c>
    </row>
    <row r="17" spans="1:23">
      <c r="A17" s="13" t="str">
        <f>IF(T17="YES",MAX($A$12:A16)+1,"")</f>
        <v/>
      </c>
      <c r="B17" s="20"/>
      <c r="C17" s="5" t="str">
        <f t="shared" si="3"/>
        <v>halls</v>
      </c>
      <c r="D17" s="5" t="s">
        <v>19</v>
      </c>
      <c r="E17" s="5" t="s">
        <v>22</v>
      </c>
      <c r="F17" s="152"/>
      <c r="G17" s="234"/>
      <c r="H17" s="233">
        <v>0.93939393939393934</v>
      </c>
      <c r="I17" s="232">
        <v>0.05</v>
      </c>
      <c r="J17" s="231"/>
      <c r="K17" s="235">
        <v>628</v>
      </c>
      <c r="L17" s="77"/>
      <c r="M17" s="37">
        <f>F17*G17*H17*I17*Baseline!$F$23</f>
        <v>0</v>
      </c>
      <c r="N17" s="37">
        <f>F17*G17*H17*J17*Baseline!$G$23</f>
        <v>0</v>
      </c>
      <c r="O17" s="60">
        <f>(M17*References!$C$27+N17*References!$C$26)/1000</f>
        <v>0</v>
      </c>
      <c r="P17" s="38">
        <f t="shared" si="0"/>
        <v>0</v>
      </c>
      <c r="Q17" s="38">
        <f>(M17*References!$C$57+Opportunities!N17*References!$C$56)/100</f>
        <v>0</v>
      </c>
      <c r="R17" s="35">
        <f t="shared" si="1"/>
        <v>0</v>
      </c>
      <c r="S17" s="36">
        <f>O17/'Graphs&amp;Analysis'!$D$24</f>
        <v>0</v>
      </c>
      <c r="T17" s="153"/>
      <c r="U17" s="153"/>
      <c r="W17" s="13" t="str">
        <f t="shared" si="2"/>
        <v/>
      </c>
    </row>
    <row r="18" spans="1:23">
      <c r="A18" s="13" t="str">
        <f>IF(T18="YES",MAX($A$12:A17)+1,"")</f>
        <v/>
      </c>
      <c r="B18" s="20"/>
      <c r="C18" s="5" t="str">
        <f t="shared" si="3"/>
        <v>halls</v>
      </c>
      <c r="D18" s="5" t="s">
        <v>19</v>
      </c>
      <c r="E18" s="5" t="s">
        <v>23</v>
      </c>
      <c r="F18" s="152"/>
      <c r="G18" s="234"/>
      <c r="H18" s="233">
        <v>0.93939393939393934</v>
      </c>
      <c r="I18" s="232">
        <v>0.1</v>
      </c>
      <c r="J18" s="231"/>
      <c r="K18" s="235">
        <v>574</v>
      </c>
      <c r="L18" s="77"/>
      <c r="M18" s="37">
        <f>F18*G18*H18*I18*Baseline!$F$23</f>
        <v>0</v>
      </c>
      <c r="N18" s="37">
        <f>F18*G18*H18*J18*Baseline!$G$23</f>
        <v>0</v>
      </c>
      <c r="O18" s="60">
        <f>(M18*References!$C$27+N18*References!$C$26)/1000</f>
        <v>0</v>
      </c>
      <c r="P18" s="38">
        <f t="shared" si="0"/>
        <v>0</v>
      </c>
      <c r="Q18" s="38">
        <f>(M18*References!$C$57+Opportunities!N18*References!$C$56)/100</f>
        <v>0</v>
      </c>
      <c r="R18" s="35">
        <f t="shared" si="1"/>
        <v>0</v>
      </c>
      <c r="S18" s="36">
        <f>O18/'Graphs&amp;Analysis'!$D$24</f>
        <v>0</v>
      </c>
      <c r="T18" s="153"/>
      <c r="U18" s="153"/>
      <c r="W18" s="13" t="str">
        <f t="shared" si="2"/>
        <v/>
      </c>
    </row>
    <row r="19" spans="1:23">
      <c r="A19" s="13" t="str">
        <f>IF(T19="YES",MAX($A$12:A18)+1,"")</f>
        <v/>
      </c>
      <c r="B19" s="20"/>
      <c r="C19" s="5" t="str">
        <f t="shared" si="3"/>
        <v>halls</v>
      </c>
      <c r="D19" s="5" t="s">
        <v>19</v>
      </c>
      <c r="E19" s="5" t="s">
        <v>21</v>
      </c>
      <c r="F19" s="152"/>
      <c r="G19" s="234"/>
      <c r="H19" s="233">
        <v>0.93939393939393934</v>
      </c>
      <c r="I19" s="232">
        <v>0.05</v>
      </c>
      <c r="J19" s="231"/>
      <c r="K19" s="235">
        <v>566</v>
      </c>
      <c r="L19" s="77"/>
      <c r="M19" s="37">
        <f>F19*G19*H19*I19*Baseline!$F$23</f>
        <v>0</v>
      </c>
      <c r="N19" s="37">
        <f>F19*G19*H19*J19*Baseline!$G$23</f>
        <v>0</v>
      </c>
      <c r="O19" s="60">
        <f>(M19*References!$C$27+N19*References!$C$26)/1000</f>
        <v>0</v>
      </c>
      <c r="P19" s="38">
        <f t="shared" si="0"/>
        <v>0</v>
      </c>
      <c r="Q19" s="38">
        <f>(M19*References!$C$57+Opportunities!N19*References!$C$56)/100</f>
        <v>0</v>
      </c>
      <c r="R19" s="35">
        <f t="shared" si="1"/>
        <v>0</v>
      </c>
      <c r="S19" s="36">
        <f>O19/'Graphs&amp;Analysis'!$D$24</f>
        <v>0</v>
      </c>
      <c r="T19" s="153"/>
      <c r="U19" s="153"/>
      <c r="W19" s="13" t="str">
        <f t="shared" si="2"/>
        <v/>
      </c>
    </row>
    <row r="20" spans="1:23">
      <c r="A20" s="13" t="str">
        <f>IF(T20="YES",MAX($A$12:A19)+1,"")</f>
        <v/>
      </c>
      <c r="B20" s="20"/>
      <c r="C20" s="5" t="str">
        <f t="shared" si="3"/>
        <v>halls</v>
      </c>
      <c r="D20" s="5" t="s">
        <v>19</v>
      </c>
      <c r="E20" s="5" t="s">
        <v>20</v>
      </c>
      <c r="F20" s="152"/>
      <c r="G20" s="234"/>
      <c r="H20" s="233">
        <v>0.93939393939393934</v>
      </c>
      <c r="I20" s="232">
        <v>0.1</v>
      </c>
      <c r="J20" s="231"/>
      <c r="K20" s="235">
        <v>750</v>
      </c>
      <c r="L20" s="77"/>
      <c r="M20" s="37">
        <f>F20*G20*H20*I20*Baseline!$F$23</f>
        <v>0</v>
      </c>
      <c r="N20" s="37">
        <f>F20*G20*H20*J20*Baseline!$G$23</f>
        <v>0</v>
      </c>
      <c r="O20" s="60">
        <f>(M20*References!$C$27+N20*References!$C$26)/1000</f>
        <v>0</v>
      </c>
      <c r="P20" s="38">
        <f t="shared" si="0"/>
        <v>0</v>
      </c>
      <c r="Q20" s="38">
        <f>(M20*References!$C$57+Opportunities!N20*References!$C$56)/100</f>
        <v>0</v>
      </c>
      <c r="R20" s="35">
        <f t="shared" si="1"/>
        <v>0</v>
      </c>
      <c r="S20" s="36">
        <f>O20/'Graphs&amp;Analysis'!$D$24</f>
        <v>0</v>
      </c>
      <c r="T20" s="153"/>
      <c r="U20" s="153"/>
      <c r="W20" s="13" t="str">
        <f t="shared" si="2"/>
        <v/>
      </c>
    </row>
    <row r="21" spans="1:23" ht="25.5">
      <c r="A21" s="13">
        <f>IF(T21="YES",MAX($A$12:A20)+1,"")</f>
        <v>1</v>
      </c>
      <c r="B21" s="20"/>
      <c r="C21" s="5" t="str">
        <f t="shared" si="3"/>
        <v>halls</v>
      </c>
      <c r="D21" s="5" t="s">
        <v>29</v>
      </c>
      <c r="E21" s="5" t="s">
        <v>30</v>
      </c>
      <c r="F21" s="152">
        <v>1</v>
      </c>
      <c r="G21" s="234">
        <v>0.3</v>
      </c>
      <c r="H21" s="233">
        <v>0.93939393939393934</v>
      </c>
      <c r="I21" s="232">
        <v>0.15</v>
      </c>
      <c r="J21" s="231"/>
      <c r="K21" s="235">
        <v>641</v>
      </c>
      <c r="L21" s="77"/>
      <c r="M21" s="37">
        <f>F21*G21*H21*I21*Baseline!$F$23</f>
        <v>264812.68513636361</v>
      </c>
      <c r="N21" s="37">
        <f>F21*G21*H21*J21*Baseline!$G$23</f>
        <v>0</v>
      </c>
      <c r="O21" s="60">
        <f>(M21*References!$C$27+N21*References!$C$26)/1000</f>
        <v>48.982402369673174</v>
      </c>
      <c r="P21" s="38">
        <f t="shared" si="0"/>
        <v>31397.719918960505</v>
      </c>
      <c r="Q21" s="38">
        <f>(M21*References!$C$57+Opportunities!N21*References!$C$56)/100</f>
        <v>7944.3805540909079</v>
      </c>
      <c r="R21" s="35">
        <f t="shared" si="1"/>
        <v>3.9521923333333335</v>
      </c>
      <c r="S21" s="36">
        <f>O21/'Graphs&amp;Analysis'!$D$24</f>
        <v>3.1500572196277101E-3</v>
      </c>
      <c r="T21" s="153" t="s">
        <v>124</v>
      </c>
      <c r="U21" s="153">
        <v>4</v>
      </c>
      <c r="W21" s="13" t="str">
        <f t="shared" si="2"/>
        <v>Buildings</v>
      </c>
    </row>
    <row r="22" spans="1:23">
      <c r="A22" s="13">
        <f>IF(T22="YES",MAX($A$12:A21)+1,"")</f>
        <v>2</v>
      </c>
      <c r="B22" s="20"/>
      <c r="C22" s="5" t="str">
        <f t="shared" si="3"/>
        <v>halls</v>
      </c>
      <c r="D22" s="5" t="s">
        <v>29</v>
      </c>
      <c r="E22" s="5" t="s">
        <v>31</v>
      </c>
      <c r="F22" s="152">
        <v>1</v>
      </c>
      <c r="G22" s="234">
        <v>0.3</v>
      </c>
      <c r="H22" s="233">
        <v>0.93939393939393934</v>
      </c>
      <c r="I22" s="232">
        <v>0.1</v>
      </c>
      <c r="J22" s="231"/>
      <c r="K22" s="235">
        <v>396</v>
      </c>
      <c r="L22" s="77"/>
      <c r="M22" s="37">
        <f>F22*G22*H22*I22*Baseline!$F$23</f>
        <v>176541.79009090908</v>
      </c>
      <c r="N22" s="37">
        <f>F22*G22*H22*J22*Baseline!$G$23</f>
        <v>0</v>
      </c>
      <c r="O22" s="60">
        <f>(M22*References!$C$27+N22*References!$C$26)/1000</f>
        <v>32.654934913115454</v>
      </c>
      <c r="P22" s="38">
        <f t="shared" si="0"/>
        <v>12931.354225593719</v>
      </c>
      <c r="Q22" s="38">
        <f>(M22*References!$C$57+Opportunities!N22*References!$C$56)/100</f>
        <v>5296.253702727272</v>
      </c>
      <c r="R22" s="35">
        <f t="shared" si="1"/>
        <v>2.4416040000000003</v>
      </c>
      <c r="S22" s="36">
        <f>O22/'Graphs&amp;Analysis'!$D$24</f>
        <v>2.100038146418474E-3</v>
      </c>
      <c r="T22" s="153" t="s">
        <v>124</v>
      </c>
      <c r="U22" s="153"/>
      <c r="W22" s="13" t="str">
        <f t="shared" si="2"/>
        <v>Buildings</v>
      </c>
    </row>
    <row r="23" spans="1:23">
      <c r="A23" s="13">
        <f>IF(T23="YES",MAX($A$12:A22)+1,"")</f>
        <v>3</v>
      </c>
      <c r="B23" s="20"/>
      <c r="C23" s="5" t="str">
        <f t="shared" si="3"/>
        <v>halls</v>
      </c>
      <c r="D23" s="5" t="s">
        <v>29</v>
      </c>
      <c r="E23" s="5" t="s">
        <v>32</v>
      </c>
      <c r="F23" s="152">
        <v>1</v>
      </c>
      <c r="G23" s="234">
        <v>0.3</v>
      </c>
      <c r="H23" s="233">
        <v>0.93939393939393934</v>
      </c>
      <c r="I23" s="232">
        <v>7.0000000000000007E-2</v>
      </c>
      <c r="J23" s="231"/>
      <c r="K23" s="235">
        <v>470</v>
      </c>
      <c r="L23" s="77"/>
      <c r="M23" s="37">
        <f>F23*G23*H23*I23*Baseline!$F$23</f>
        <v>123579.25306363637</v>
      </c>
      <c r="N23" s="37">
        <f>F23*G23*H23*J23*Baseline!$G$23</f>
        <v>0</v>
      </c>
      <c r="O23" s="60">
        <f>(M23*References!$C$27+N23*References!$C$26)/1000</f>
        <v>22.858454439180818</v>
      </c>
      <c r="P23" s="38">
        <f t="shared" si="0"/>
        <v>10743.473586414984</v>
      </c>
      <c r="Q23" s="38">
        <f>(M23*References!$C$57+Opportunities!N23*References!$C$56)/100</f>
        <v>3707.3775919090908</v>
      </c>
      <c r="R23" s="35">
        <f t="shared" si="1"/>
        <v>2.8978633333333335</v>
      </c>
      <c r="S23" s="36">
        <f>O23/'Graphs&amp;Analysis'!$D$24</f>
        <v>1.4700267024929316E-3</v>
      </c>
      <c r="T23" s="153" t="s">
        <v>124</v>
      </c>
      <c r="U23" s="153"/>
      <c r="W23" s="13" t="str">
        <f t="shared" si="2"/>
        <v>Buildings</v>
      </c>
    </row>
    <row r="24" spans="1:23">
      <c r="A24" s="13">
        <f>IF(T24="YES",MAX($A$12:A23)+1,"")</f>
        <v>4</v>
      </c>
      <c r="B24" s="20"/>
      <c r="C24" s="5" t="str">
        <f t="shared" si="3"/>
        <v>halls</v>
      </c>
      <c r="D24" s="5" t="s">
        <v>29</v>
      </c>
      <c r="E24" s="5" t="s">
        <v>33</v>
      </c>
      <c r="F24" s="152">
        <v>1</v>
      </c>
      <c r="G24" s="234">
        <v>0.3</v>
      </c>
      <c r="H24" s="233">
        <v>0.93939393939393934</v>
      </c>
      <c r="I24" s="232">
        <v>0.05</v>
      </c>
      <c r="J24" s="231"/>
      <c r="K24" s="235">
        <v>682</v>
      </c>
      <c r="L24" s="77"/>
      <c r="M24" s="37">
        <f>F24*G24*H24*I24*Baseline!$F$23</f>
        <v>88270.895045454541</v>
      </c>
      <c r="N24" s="37">
        <f>F24*G24*H24*J24*Baseline!$G$23</f>
        <v>0</v>
      </c>
      <c r="O24" s="60">
        <f>(M24*References!$C$27+N24*References!$C$26)/1000</f>
        <v>16.327467456557727</v>
      </c>
      <c r="P24" s="38">
        <f t="shared" si="0"/>
        <v>11135.332805372371</v>
      </c>
      <c r="Q24" s="38">
        <f>(M24*References!$C$57+Opportunities!N24*References!$C$56)/100</f>
        <v>2648.126851363636</v>
      </c>
      <c r="R24" s="35">
        <f t="shared" si="1"/>
        <v>4.2049846666666673</v>
      </c>
      <c r="S24" s="36">
        <f>O24/'Graphs&amp;Analysis'!$D$24</f>
        <v>1.050019073209237E-3</v>
      </c>
      <c r="T24" s="153" t="s">
        <v>124</v>
      </c>
      <c r="U24" s="153"/>
      <c r="W24" s="13" t="str">
        <f t="shared" si="2"/>
        <v>Buildings</v>
      </c>
    </row>
    <row r="25" spans="1:23" ht="25.5">
      <c r="A25" s="13">
        <f>IF(T25="YES",MAX($A$12:A24)+1,"")</f>
        <v>5</v>
      </c>
      <c r="B25" s="20"/>
      <c r="C25" s="5" t="str">
        <f t="shared" si="3"/>
        <v>halls</v>
      </c>
      <c r="D25" s="5" t="s">
        <v>34</v>
      </c>
      <c r="E25" s="5" t="s">
        <v>35</v>
      </c>
      <c r="F25" s="152">
        <v>1</v>
      </c>
      <c r="G25" s="234">
        <v>0.3</v>
      </c>
      <c r="H25" s="232">
        <v>0.05</v>
      </c>
      <c r="I25" s="232">
        <v>0.7</v>
      </c>
      <c r="J25" s="231"/>
      <c r="K25" s="235">
        <v>472</v>
      </c>
      <c r="L25" s="77"/>
      <c r="M25" s="37">
        <f>F25*G25*H25*I25*Baseline!$F$23</f>
        <v>65776.054049999992</v>
      </c>
      <c r="N25" s="37">
        <f>F25*G25*H25*J25*Baseline!$G$23</f>
        <v>0</v>
      </c>
      <c r="O25" s="60">
        <f>(M25*References!$C$27+N25*References!$C$26)/1000</f>
        <v>12.166596717628497</v>
      </c>
      <c r="P25" s="38">
        <f t="shared" si="0"/>
        <v>5742.6336507206506</v>
      </c>
      <c r="Q25" s="38">
        <f>(M25*References!$C$57+Opportunities!N25*References!$C$56)/100</f>
        <v>1973.2816214999998</v>
      </c>
      <c r="R25" s="35">
        <f t="shared" si="1"/>
        <v>2.910194666666666</v>
      </c>
      <c r="S25" s="36">
        <f>O25/'Graphs&amp;Analysis'!$D$24</f>
        <v>7.8243356745591507E-4</v>
      </c>
      <c r="T25" s="153" t="s">
        <v>124</v>
      </c>
      <c r="U25" s="153"/>
      <c r="W25" s="13" t="str">
        <f t="shared" si="2"/>
        <v>Buildings</v>
      </c>
    </row>
    <row r="26" spans="1:23" ht="25.5">
      <c r="A26" s="13">
        <f>IF(T26="YES",MAX($A$12:A25)+1,"")</f>
        <v>6</v>
      </c>
      <c r="B26" s="20"/>
      <c r="C26" s="5" t="str">
        <f t="shared" si="3"/>
        <v>halls</v>
      </c>
      <c r="D26" s="5" t="s">
        <v>27</v>
      </c>
      <c r="E26" s="5" t="s">
        <v>122</v>
      </c>
      <c r="F26" s="152">
        <v>1</v>
      </c>
      <c r="G26" s="234">
        <v>0.3</v>
      </c>
      <c r="H26" s="232">
        <v>1</v>
      </c>
      <c r="I26" s="232">
        <v>0.8</v>
      </c>
      <c r="J26" s="231"/>
      <c r="K26" s="235">
        <v>803</v>
      </c>
      <c r="L26" s="77"/>
      <c r="M26" s="37">
        <f>F26*G26*H26*I26*Baseline!$F$23</f>
        <v>1503452.6639999999</v>
      </c>
      <c r="N26" s="37">
        <f>F26*G26*H26*J26*Baseline!$G$23</f>
        <v>0</v>
      </c>
      <c r="O26" s="60">
        <f>(M26*References!$C$27+N26*References!$C$26)/1000</f>
        <v>278.09363926007995</v>
      </c>
      <c r="P26" s="38">
        <f t="shared" si="0"/>
        <v>223309.1923258442</v>
      </c>
      <c r="Q26" s="38">
        <f>(M26*References!$C$57+Opportunities!N26*References!$C$56)/100</f>
        <v>45103.579919999996</v>
      </c>
      <c r="R26" s="35">
        <f t="shared" si="1"/>
        <v>4.9510303333333328</v>
      </c>
      <c r="S26" s="36">
        <f>O26/'Graphs&amp;Analysis'!$D$24</f>
        <v>1.7884195827563773E-2</v>
      </c>
      <c r="T26" s="153" t="s">
        <v>124</v>
      </c>
      <c r="U26" s="153"/>
      <c r="W26" s="13" t="str">
        <f t="shared" si="2"/>
        <v>Buildings</v>
      </c>
    </row>
    <row r="27" spans="1:23" ht="25.5">
      <c r="A27" s="13">
        <f>IF(T27="YES",MAX($A$12:A26)+1,"")</f>
        <v>7</v>
      </c>
      <c r="B27" s="20"/>
      <c r="C27" s="5" t="str">
        <f t="shared" si="3"/>
        <v>halls</v>
      </c>
      <c r="D27" s="5" t="s">
        <v>27</v>
      </c>
      <c r="E27" s="5" t="s">
        <v>28</v>
      </c>
      <c r="F27" s="152">
        <v>1</v>
      </c>
      <c r="G27" s="234">
        <v>0.3</v>
      </c>
      <c r="H27" s="232">
        <v>1</v>
      </c>
      <c r="I27" s="232">
        <v>0.2</v>
      </c>
      <c r="J27" s="231"/>
      <c r="K27" s="235">
        <v>803</v>
      </c>
      <c r="L27" s="77"/>
      <c r="M27" s="37">
        <f>F27*G27*H27*I27*Baseline!$F$23</f>
        <v>375863.16599999997</v>
      </c>
      <c r="N27" s="37">
        <f>F27*G27*H27*J27*Baseline!$G$23</f>
        <v>0</v>
      </c>
      <c r="O27" s="60">
        <f>(M27*References!$C$27+N27*References!$C$26)/1000</f>
        <v>69.523409815019988</v>
      </c>
      <c r="P27" s="38">
        <f t="shared" si="0"/>
        <v>55827.298081461049</v>
      </c>
      <c r="Q27" s="38">
        <f>(M27*References!$C$57+Opportunities!N27*References!$C$56)/100</f>
        <v>11275.894979999999</v>
      </c>
      <c r="R27" s="35">
        <f t="shared" si="1"/>
        <v>4.9510303333333328</v>
      </c>
      <c r="S27" s="36">
        <f>O27/'Graphs&amp;Analysis'!$D$24</f>
        <v>4.4710489568909433E-3</v>
      </c>
      <c r="T27" s="153" t="s">
        <v>124</v>
      </c>
      <c r="U27" s="153"/>
      <c r="W27" s="13" t="str">
        <f t="shared" si="2"/>
        <v>Buildings</v>
      </c>
    </row>
    <row r="28" spans="1:23" ht="25.5">
      <c r="A28" s="13">
        <f>IF(T28="YES",MAX($A$12:A27)+1,"")</f>
        <v>8</v>
      </c>
      <c r="B28" s="20"/>
      <c r="C28" s="5" t="str">
        <f t="shared" si="3"/>
        <v>halls</v>
      </c>
      <c r="D28" s="5" t="s">
        <v>47</v>
      </c>
      <c r="E28" s="5" t="s">
        <v>51</v>
      </c>
      <c r="F28" s="152">
        <v>1</v>
      </c>
      <c r="G28" s="234">
        <v>0.3</v>
      </c>
      <c r="H28" s="233">
        <v>0.17647058823529407</v>
      </c>
      <c r="I28" s="231"/>
      <c r="J28" s="232">
        <v>0.1</v>
      </c>
      <c r="K28" s="235">
        <v>294</v>
      </c>
      <c r="L28" s="77"/>
      <c r="M28" s="37">
        <f>F28*G28*H28*I28*Baseline!$F$23</f>
        <v>0</v>
      </c>
      <c r="N28" s="37">
        <f>F28*G28*H28*J28*Baseline!$G$23</f>
        <v>59068.925999999992</v>
      </c>
      <c r="O28" s="60">
        <f>(M28*References!$C$27+N28*References!$C$26)/1000</f>
        <v>31.72119464052</v>
      </c>
      <c r="P28" s="38">
        <f t="shared" si="0"/>
        <v>9326.0312243128792</v>
      </c>
      <c r="Q28" s="38">
        <f>(M28*References!$C$57+Opportunities!N28*References!$C$56)/100</f>
        <v>4725.514079999999</v>
      </c>
      <c r="R28" s="35">
        <f t="shared" si="1"/>
        <v>1.9735485000000001</v>
      </c>
      <c r="S28" s="36">
        <f>O28/'Graphs&amp;Analysis'!$D$24</f>
        <v>2.0399893300140021E-3</v>
      </c>
      <c r="T28" s="153" t="s">
        <v>124</v>
      </c>
      <c r="U28" s="153"/>
      <c r="W28" s="13" t="str">
        <f t="shared" si="2"/>
        <v>Buildings</v>
      </c>
    </row>
    <row r="29" spans="1:23">
      <c r="A29" s="13">
        <f>IF(T29="YES",MAX($A$12:A28)+1,"")</f>
        <v>9</v>
      </c>
      <c r="B29" s="20"/>
      <c r="C29" s="5" t="str">
        <f t="shared" si="3"/>
        <v>halls</v>
      </c>
      <c r="D29" s="5" t="s">
        <v>47</v>
      </c>
      <c r="E29" s="5" t="s">
        <v>50</v>
      </c>
      <c r="F29" s="152">
        <v>1</v>
      </c>
      <c r="G29" s="234">
        <v>0.3</v>
      </c>
      <c r="H29" s="233">
        <v>0.17647058823529407</v>
      </c>
      <c r="I29" s="231"/>
      <c r="J29" s="232">
        <v>0.1</v>
      </c>
      <c r="K29" s="235">
        <v>4202</v>
      </c>
      <c r="L29" s="77"/>
      <c r="M29" s="37">
        <f>F29*G29*H29*I29*Baseline!$F$23</f>
        <v>0</v>
      </c>
      <c r="N29" s="37">
        <f>F29*G29*H29*J29*Baseline!$G$23</f>
        <v>59068.925999999992</v>
      </c>
      <c r="O29" s="60">
        <f>(M29*References!$C$27+N29*References!$C$26)/1000</f>
        <v>31.72119464052</v>
      </c>
      <c r="P29" s="38">
        <f t="shared" si="0"/>
        <v>133292.45987946505</v>
      </c>
      <c r="Q29" s="38">
        <f>(M29*References!$C$57+Opportunities!N29*References!$C$56)/100</f>
        <v>4725.514079999999</v>
      </c>
      <c r="R29" s="35">
        <f t="shared" si="1"/>
        <v>28.206975500000009</v>
      </c>
      <c r="S29" s="36">
        <f>O29/'Graphs&amp;Analysis'!$D$24</f>
        <v>2.0399893300140021E-3</v>
      </c>
      <c r="T29" s="153" t="s">
        <v>124</v>
      </c>
      <c r="U29" s="153"/>
      <c r="W29" s="13" t="str">
        <f t="shared" si="2"/>
        <v>Buildings</v>
      </c>
    </row>
    <row r="30" spans="1:23">
      <c r="A30" s="13">
        <f>IF(T30="YES",MAX($A$12:A29)+1,"")</f>
        <v>10</v>
      </c>
      <c r="B30" s="20"/>
      <c r="C30" s="5" t="str">
        <f t="shared" si="3"/>
        <v>halls</v>
      </c>
      <c r="D30" s="5" t="s">
        <v>47</v>
      </c>
      <c r="E30" s="5" t="s">
        <v>49</v>
      </c>
      <c r="F30" s="152">
        <v>1</v>
      </c>
      <c r="G30" s="234">
        <v>0.3</v>
      </c>
      <c r="H30" s="233">
        <v>0.17647058823529407</v>
      </c>
      <c r="I30" s="231"/>
      <c r="J30" s="232">
        <v>0.1</v>
      </c>
      <c r="K30" s="235">
        <v>1200</v>
      </c>
      <c r="L30" s="77"/>
      <c r="M30" s="37">
        <f>F30*G30*H30*I30*Baseline!$F$23</f>
        <v>0</v>
      </c>
      <c r="N30" s="37">
        <f>F30*G30*H30*J30*Baseline!$G$23</f>
        <v>59068.925999999992</v>
      </c>
      <c r="O30" s="60">
        <f>(M30*References!$C$27+N30*References!$C$26)/1000</f>
        <v>31.72119464052</v>
      </c>
      <c r="P30" s="38">
        <f t="shared" si="0"/>
        <v>38065.433568624001</v>
      </c>
      <c r="Q30" s="38">
        <f>(M30*References!$C$57+Opportunities!N30*References!$C$56)/100</f>
        <v>4725.514079999999</v>
      </c>
      <c r="R30" s="35">
        <f t="shared" si="1"/>
        <v>8.0553000000000026</v>
      </c>
      <c r="S30" s="36">
        <f>O30/'Graphs&amp;Analysis'!$D$24</f>
        <v>2.0399893300140021E-3</v>
      </c>
      <c r="T30" s="153" t="s">
        <v>124</v>
      </c>
      <c r="U30" s="153"/>
      <c r="W30" s="13" t="str">
        <f t="shared" si="2"/>
        <v>Buildings</v>
      </c>
    </row>
    <row r="31" spans="1:23" ht="25.5">
      <c r="A31" s="13">
        <f>IF(T31="YES",MAX($A$12:A30)+1,"")</f>
        <v>11</v>
      </c>
      <c r="B31" s="20"/>
      <c r="C31" s="5" t="str">
        <f t="shared" si="3"/>
        <v>halls</v>
      </c>
      <c r="D31" s="5" t="s">
        <v>47</v>
      </c>
      <c r="E31" s="5" t="s">
        <v>48</v>
      </c>
      <c r="F31" s="152">
        <v>1</v>
      </c>
      <c r="G31" s="234">
        <v>0.3</v>
      </c>
      <c r="H31" s="233">
        <v>2.9411764705882346E-2</v>
      </c>
      <c r="I31" s="231"/>
      <c r="J31" s="232">
        <v>0.5</v>
      </c>
      <c r="K31" s="235">
        <v>606</v>
      </c>
      <c r="L31" s="77"/>
      <c r="M31" s="37">
        <f>F31*G31*H31*I31*Baseline!$F$23</f>
        <v>0</v>
      </c>
      <c r="N31" s="37">
        <f>F31*G31*H31*J31*Baseline!$G$23</f>
        <v>49224.104999999996</v>
      </c>
      <c r="O31" s="60">
        <f>(M31*References!$C$27+N31*References!$C$26)/1000</f>
        <v>26.4343288671</v>
      </c>
      <c r="P31" s="38">
        <f t="shared" si="0"/>
        <v>16019.2032934626</v>
      </c>
      <c r="Q31" s="38">
        <f>(M31*References!$C$57+Opportunities!N31*References!$C$56)/100</f>
        <v>3937.9283999999998</v>
      </c>
      <c r="R31" s="35">
        <f t="shared" si="1"/>
        <v>4.0679265000000004</v>
      </c>
      <c r="S31" s="36">
        <f>O31/'Graphs&amp;Analysis'!$D$24</f>
        <v>1.6999911083450019E-3</v>
      </c>
      <c r="T31" s="153" t="s">
        <v>124</v>
      </c>
      <c r="U31" s="153"/>
      <c r="W31" s="13" t="str">
        <f t="shared" si="2"/>
        <v>Buildings</v>
      </c>
    </row>
    <row r="32" spans="1:23" ht="25.5">
      <c r="A32" s="13">
        <f>IF(T32="YES",MAX($A$12:A31)+1,"")</f>
        <v>12</v>
      </c>
      <c r="B32" s="20"/>
      <c r="C32" s="5" t="str">
        <f t="shared" si="3"/>
        <v>halls</v>
      </c>
      <c r="D32" s="5" t="s">
        <v>36</v>
      </c>
      <c r="E32" s="5" t="s">
        <v>37</v>
      </c>
      <c r="F32" s="152">
        <v>1</v>
      </c>
      <c r="G32" s="234">
        <v>0.3</v>
      </c>
      <c r="H32" s="233">
        <v>0.5</v>
      </c>
      <c r="I32" s="232"/>
      <c r="J32" s="232">
        <v>0.35</v>
      </c>
      <c r="K32" s="235">
        <v>1200</v>
      </c>
      <c r="L32" s="77"/>
      <c r="M32" s="37">
        <f>F32*G32*H32*I32*Baseline!$F$23</f>
        <v>0</v>
      </c>
      <c r="N32" s="37">
        <f>F32*G32*H32*J32*Baseline!$G$23</f>
        <v>585766.84950000001</v>
      </c>
      <c r="O32" s="60">
        <f>(M32*References!$C$27+N32*References!$C$26)/1000</f>
        <v>314.56851351849002</v>
      </c>
      <c r="P32" s="38">
        <f t="shared" si="0"/>
        <v>377482.21622218803</v>
      </c>
      <c r="Q32" s="38">
        <f>(M32*References!$C$57+Opportunities!N32*References!$C$56)/100</f>
        <v>46861.347959999999</v>
      </c>
      <c r="R32" s="35">
        <f t="shared" si="1"/>
        <v>8.0553000000000008</v>
      </c>
      <c r="S32" s="36">
        <f>O32/'Graphs&amp;Analysis'!$D$24</f>
        <v>2.0229894189305524E-2</v>
      </c>
      <c r="T32" s="153" t="s">
        <v>124</v>
      </c>
      <c r="U32" s="153"/>
      <c r="W32" s="13" t="str">
        <f t="shared" si="2"/>
        <v>Buildings</v>
      </c>
    </row>
    <row r="33" spans="1:23">
      <c r="A33" s="13">
        <f>IF(T33="YES",MAX($A$12:A32)+1,"")</f>
        <v>13</v>
      </c>
      <c r="B33" s="20"/>
      <c r="C33" s="5" t="str">
        <f t="shared" si="3"/>
        <v>halls</v>
      </c>
      <c r="D33" s="5" t="s">
        <v>36</v>
      </c>
      <c r="E33" s="5" t="s">
        <v>38</v>
      </c>
      <c r="F33" s="152">
        <v>1</v>
      </c>
      <c r="G33" s="234">
        <v>0.3</v>
      </c>
      <c r="H33" s="233">
        <v>0.5</v>
      </c>
      <c r="I33" s="232"/>
      <c r="J33" s="232">
        <v>0.5</v>
      </c>
      <c r="K33" s="235">
        <v>500</v>
      </c>
      <c r="L33" s="77"/>
      <c r="M33" s="37">
        <f>F33*G33*H33*I33*Baseline!$F$23</f>
        <v>0</v>
      </c>
      <c r="N33" s="37">
        <f>F33*G33*H33*J33*Baseline!$G$23</f>
        <v>836809.78500000003</v>
      </c>
      <c r="O33" s="60">
        <f>(M33*References!$C$27+N33*References!$C$26)/1000</f>
        <v>449.38359074070007</v>
      </c>
      <c r="P33" s="38">
        <f t="shared" si="0"/>
        <v>224691.79537035004</v>
      </c>
      <c r="Q33" s="38">
        <f>(M33*References!$C$57+Opportunities!N33*References!$C$56)/100</f>
        <v>66944.782800000001</v>
      </c>
      <c r="R33" s="35">
        <f t="shared" si="1"/>
        <v>3.3563750000000003</v>
      </c>
      <c r="S33" s="36">
        <f>O33/'Graphs&amp;Analysis'!$D$24</f>
        <v>2.8899848841865035E-2</v>
      </c>
      <c r="T33" s="153" t="s">
        <v>124</v>
      </c>
      <c r="U33" s="153"/>
      <c r="W33" s="13" t="str">
        <f t="shared" si="2"/>
        <v>Buildings</v>
      </c>
    </row>
    <row r="34" spans="1:23" ht="25.5">
      <c r="A34" s="13">
        <f>IF(T34="YES",MAX($A$12:A33)+1,"")</f>
        <v>14</v>
      </c>
      <c r="B34" s="20"/>
      <c r="C34" s="5" t="str">
        <f t="shared" si="3"/>
        <v>halls</v>
      </c>
      <c r="D34" s="5" t="s">
        <v>39</v>
      </c>
      <c r="E34" s="5" t="s">
        <v>40</v>
      </c>
      <c r="F34" s="152">
        <v>1</v>
      </c>
      <c r="G34" s="234">
        <v>0.3</v>
      </c>
      <c r="H34" s="233">
        <v>0.5</v>
      </c>
      <c r="I34" s="232"/>
      <c r="J34" s="232">
        <v>0.08</v>
      </c>
      <c r="K34" s="235">
        <v>633</v>
      </c>
      <c r="L34" s="77"/>
      <c r="M34" s="37">
        <f>F34*G34*H34*I34*Baseline!$F$23</f>
        <v>0</v>
      </c>
      <c r="N34" s="37">
        <f>F34*G34*H34*J34*Baseline!$G$23</f>
        <v>133889.5656</v>
      </c>
      <c r="O34" s="60">
        <f>(M34*References!$C$27+N34*References!$C$26)/1000</f>
        <v>71.901374518512</v>
      </c>
      <c r="P34" s="38">
        <f t="shared" si="0"/>
        <v>45513.570070218098</v>
      </c>
      <c r="Q34" s="38">
        <f>(M34*References!$C$57+Opportunities!N34*References!$C$56)/100</f>
        <v>10711.165247999999</v>
      </c>
      <c r="R34" s="35">
        <f t="shared" si="1"/>
        <v>4.2491707500000002</v>
      </c>
      <c r="S34" s="36">
        <f>O34/'Graphs&amp;Analysis'!$D$24</f>
        <v>4.6239758146984049E-3</v>
      </c>
      <c r="T34" s="153" t="s">
        <v>124</v>
      </c>
      <c r="U34" s="153"/>
      <c r="W34" s="13" t="str">
        <f t="shared" si="2"/>
        <v>Buildings</v>
      </c>
    </row>
    <row r="35" spans="1:23" ht="25.5">
      <c r="A35" s="13">
        <f>IF(T35="YES",MAX($A$12:A34)+1,"")</f>
        <v>15</v>
      </c>
      <c r="B35" s="20"/>
      <c r="C35" s="5" t="str">
        <f t="shared" si="3"/>
        <v>halls</v>
      </c>
      <c r="D35" s="5" t="s">
        <v>43</v>
      </c>
      <c r="E35" s="5" t="s">
        <v>46</v>
      </c>
      <c r="F35" s="152">
        <v>1</v>
      </c>
      <c r="G35" s="234">
        <v>0.3</v>
      </c>
      <c r="H35" s="233">
        <v>1</v>
      </c>
      <c r="I35" s="232">
        <v>7.0000000000000007E-2</v>
      </c>
      <c r="J35" s="232">
        <v>7.0000000000000007E-2</v>
      </c>
      <c r="K35" s="235">
        <v>500</v>
      </c>
      <c r="L35" s="77"/>
      <c r="M35" s="37">
        <f>F35*G35*H35*I35*Baseline!$F$23</f>
        <v>131552.10810000001</v>
      </c>
      <c r="N35" s="37">
        <f>F35*G35*H35*J35*Baseline!$G$23</f>
        <v>234306.73980000004</v>
      </c>
      <c r="O35" s="60">
        <f>(M35*References!$C$27+N35*References!$C$26)/1000</f>
        <v>150.16059884265303</v>
      </c>
      <c r="P35" s="38">
        <f t="shared" si="0"/>
        <v>75080.299421326519</v>
      </c>
      <c r="Q35" s="38">
        <f>(M35*References!$C$57+Opportunities!N35*References!$C$56)/100</f>
        <v>22691.102427000002</v>
      </c>
      <c r="R35" s="35">
        <f t="shared" si="1"/>
        <v>3.3087991058552069</v>
      </c>
      <c r="S35" s="36">
        <f>O35/'Graphs&amp;Analysis'!$D$24</f>
        <v>9.6568248106340404E-3</v>
      </c>
      <c r="T35" s="153" t="s">
        <v>124</v>
      </c>
      <c r="U35" s="153"/>
      <c r="W35" s="13" t="str">
        <f t="shared" si="2"/>
        <v>Buildings</v>
      </c>
    </row>
    <row r="36" spans="1:23" ht="25.5">
      <c r="A36" s="13">
        <f>IF(T36="YES",MAX($A$12:A35)+1,"")</f>
        <v>16</v>
      </c>
      <c r="B36" s="20"/>
      <c r="C36" s="5" t="str">
        <f t="shared" si="3"/>
        <v>halls</v>
      </c>
      <c r="D36" s="5" t="s">
        <v>43</v>
      </c>
      <c r="E36" s="5" t="s">
        <v>44</v>
      </c>
      <c r="F36" s="152">
        <v>1</v>
      </c>
      <c r="G36" s="234">
        <v>0.3</v>
      </c>
      <c r="H36" s="233">
        <v>5.8823529411764691E-2</v>
      </c>
      <c r="I36" s="231"/>
      <c r="J36" s="232">
        <v>0.4</v>
      </c>
      <c r="K36" s="235">
        <v>307</v>
      </c>
      <c r="L36" s="77"/>
      <c r="M36" s="37">
        <f>F36*G36*H36*I36*Baseline!$F$23</f>
        <v>0</v>
      </c>
      <c r="N36" s="37">
        <f>F36*G36*H36*J36*Baseline!$G$23</f>
        <v>78758.567999999985</v>
      </c>
      <c r="O36" s="60">
        <f>(M36*References!$C$27+N36*References!$C$26)/1000</f>
        <v>42.294926187359998</v>
      </c>
      <c r="P36" s="38">
        <f t="shared" si="0"/>
        <v>12984.542339519519</v>
      </c>
      <c r="Q36" s="38">
        <f>(M36*References!$C$57+Opportunities!N36*References!$C$56)/100</f>
        <v>6300.6854399999984</v>
      </c>
      <c r="R36" s="35">
        <f t="shared" si="1"/>
        <v>2.0608142500000004</v>
      </c>
      <c r="S36" s="36">
        <f>O36/'Graphs&amp;Analysis'!$D$24</f>
        <v>2.7199857733520029E-3</v>
      </c>
      <c r="T36" s="153" t="s">
        <v>124</v>
      </c>
      <c r="U36" s="153"/>
      <c r="W36" s="13" t="str">
        <f t="shared" si="2"/>
        <v>Buildings</v>
      </c>
    </row>
    <row r="37" spans="1:23">
      <c r="A37" s="13" t="str">
        <f>IF(T37="YES",MAX($A$12:A36)+1,"")</f>
        <v/>
      </c>
      <c r="B37" s="20"/>
      <c r="C37" s="5" t="str">
        <f t="shared" si="3"/>
        <v>halls</v>
      </c>
      <c r="D37" s="5" t="s">
        <v>43</v>
      </c>
      <c r="E37" s="5" t="s">
        <v>55</v>
      </c>
      <c r="F37" s="152"/>
      <c r="G37" s="234"/>
      <c r="H37" s="232">
        <v>0.5</v>
      </c>
      <c r="I37" s="232">
        <v>0.05</v>
      </c>
      <c r="J37" s="232"/>
      <c r="K37" s="235">
        <v>500</v>
      </c>
      <c r="L37" s="77"/>
      <c r="M37" s="37">
        <f>F37*G37*H37*I37*Baseline!$F$23</f>
        <v>0</v>
      </c>
      <c r="N37" s="37">
        <f>F37*G37*H37*J37*Baseline!$G$23</f>
        <v>0</v>
      </c>
      <c r="O37" s="60">
        <f>(M37*References!$C$27+N37*References!$C$26)/1000</f>
        <v>0</v>
      </c>
      <c r="P37" s="38">
        <f t="shared" si="0"/>
        <v>0</v>
      </c>
      <c r="Q37" s="38">
        <f>(M37*References!$C$57+Opportunities!N37*References!$C$56)/100</f>
        <v>0</v>
      </c>
      <c r="R37" s="35">
        <f t="shared" si="1"/>
        <v>0</v>
      </c>
      <c r="S37" s="36">
        <f>O37/'Graphs&amp;Analysis'!$D$24</f>
        <v>0</v>
      </c>
      <c r="T37" s="153"/>
      <c r="U37" s="153"/>
      <c r="W37" s="13" t="str">
        <f t="shared" si="2"/>
        <v/>
      </c>
    </row>
    <row r="38" spans="1:23" ht="25.5">
      <c r="A38" s="13" t="str">
        <f>IF(T38="YES",MAX($A$12:A37)+1,"")</f>
        <v/>
      </c>
      <c r="B38" s="20"/>
      <c r="C38" s="5" t="str">
        <f t="shared" si="3"/>
        <v>halls</v>
      </c>
      <c r="D38" s="5" t="s">
        <v>43</v>
      </c>
      <c r="E38" s="5" t="s">
        <v>56</v>
      </c>
      <c r="F38" s="152"/>
      <c r="G38" s="234"/>
      <c r="H38" s="232">
        <v>1</v>
      </c>
      <c r="I38" s="232">
        <v>0.1</v>
      </c>
      <c r="J38" s="232">
        <v>0.15</v>
      </c>
      <c r="K38" s="235">
        <v>500</v>
      </c>
      <c r="L38" s="77"/>
      <c r="M38" s="37">
        <f>F38*G38*H38*I38*Baseline!$F$23</f>
        <v>0</v>
      </c>
      <c r="N38" s="37">
        <f>F38*G38*H38*J38*Baseline!$G$23</f>
        <v>0</v>
      </c>
      <c r="O38" s="60">
        <f>(M38*References!$C$27+N38*References!$C$26)/1000</f>
        <v>0</v>
      </c>
      <c r="P38" s="38">
        <f t="shared" ref="P38:P43" si="4">O38*K38</f>
        <v>0</v>
      </c>
      <c r="Q38" s="38">
        <f>(M38*References!$C$57+Opportunities!N38*References!$C$56)/100</f>
        <v>0</v>
      </c>
      <c r="R38" s="35">
        <f t="shared" ref="R38:R43" si="5">IF(ISERROR(P38/Q38),0,P38/Q38)</f>
        <v>0</v>
      </c>
      <c r="S38" s="36">
        <f>O38/'Graphs&amp;Analysis'!$D$24</f>
        <v>0</v>
      </c>
      <c r="T38" s="153"/>
      <c r="U38" s="153"/>
      <c r="W38" s="13" t="str">
        <f t="shared" si="2"/>
        <v/>
      </c>
    </row>
    <row r="39" spans="1:23">
      <c r="A39" s="13" t="str">
        <f>IF(T39="YES",MAX($A$12:A38)+1,"")</f>
        <v/>
      </c>
      <c r="B39" s="20"/>
      <c r="C39" s="5" t="str">
        <f t="shared" si="3"/>
        <v>halls</v>
      </c>
      <c r="D39" s="5" t="s">
        <v>43</v>
      </c>
      <c r="E39" s="5" t="s">
        <v>53</v>
      </c>
      <c r="F39" s="152"/>
      <c r="G39" s="234"/>
      <c r="H39" s="232">
        <v>1</v>
      </c>
      <c r="I39" s="232"/>
      <c r="J39" s="232">
        <v>0.4</v>
      </c>
      <c r="K39" s="235">
        <v>500</v>
      </c>
      <c r="L39" s="77"/>
      <c r="M39" s="37">
        <f>F39*G39*H39*I39*Baseline!$F$23</f>
        <v>0</v>
      </c>
      <c r="N39" s="37">
        <f>F39*G39*H39*J39*Baseline!$G$23</f>
        <v>0</v>
      </c>
      <c r="O39" s="60">
        <f>(M39*References!$C$27+N39*References!$C$26)/1000</f>
        <v>0</v>
      </c>
      <c r="P39" s="38">
        <f t="shared" si="4"/>
        <v>0</v>
      </c>
      <c r="Q39" s="38">
        <f>(M39*References!$C$57+Opportunities!N39*References!$C$56)/100</f>
        <v>0</v>
      </c>
      <c r="R39" s="35">
        <f t="shared" si="5"/>
        <v>0</v>
      </c>
      <c r="S39" s="36">
        <f>O39/'Graphs&amp;Analysis'!$D$24</f>
        <v>0</v>
      </c>
      <c r="T39" s="153"/>
      <c r="U39" s="153"/>
      <c r="W39" s="13" t="str">
        <f t="shared" si="2"/>
        <v/>
      </c>
    </row>
    <row r="40" spans="1:23" ht="25.5">
      <c r="A40" s="13" t="str">
        <f>IF(T40="YES",MAX($A$12:A39)+1,"")</f>
        <v/>
      </c>
      <c r="B40" s="20"/>
      <c r="C40" s="5" t="str">
        <f t="shared" si="3"/>
        <v>halls</v>
      </c>
      <c r="D40" s="5" t="s">
        <v>43</v>
      </c>
      <c r="E40" s="5" t="s">
        <v>54</v>
      </c>
      <c r="F40" s="152"/>
      <c r="G40" s="234"/>
      <c r="H40" s="232">
        <v>0.5</v>
      </c>
      <c r="I40" s="232">
        <v>0.2</v>
      </c>
      <c r="J40" s="232"/>
      <c r="K40" s="235">
        <v>500</v>
      </c>
      <c r="L40" s="77"/>
      <c r="M40" s="37">
        <f>F40*G40*H40*I40*Baseline!$F$23</f>
        <v>0</v>
      </c>
      <c r="N40" s="37">
        <f>F40*G40*H40*J40*Baseline!$G$23</f>
        <v>0</v>
      </c>
      <c r="O40" s="60">
        <f>(M40*References!$C$27+N40*References!$C$26)/1000</f>
        <v>0</v>
      </c>
      <c r="P40" s="38">
        <f t="shared" si="4"/>
        <v>0</v>
      </c>
      <c r="Q40" s="38">
        <f>(M40*References!$C$57+Opportunities!N40*References!$C$56)/100</f>
        <v>0</v>
      </c>
      <c r="R40" s="35">
        <f t="shared" si="5"/>
        <v>0</v>
      </c>
      <c r="S40" s="36">
        <f>O40/'Graphs&amp;Analysis'!$D$24</f>
        <v>0</v>
      </c>
      <c r="T40" s="153"/>
      <c r="U40" s="153"/>
      <c r="W40" s="13" t="str">
        <f t="shared" si="2"/>
        <v/>
      </c>
    </row>
    <row r="41" spans="1:23">
      <c r="A41" s="13" t="str">
        <f>IF(T41="YES",MAX($A$12:A40)+1,"")</f>
        <v/>
      </c>
      <c r="B41" s="20"/>
      <c r="C41" s="5" t="str">
        <f t="shared" si="3"/>
        <v>halls</v>
      </c>
      <c r="D41" s="5" t="s">
        <v>43</v>
      </c>
      <c r="E41" s="5" t="s">
        <v>45</v>
      </c>
      <c r="F41" s="152"/>
      <c r="G41" s="234"/>
      <c r="H41" s="232">
        <v>1</v>
      </c>
      <c r="I41" s="232"/>
      <c r="J41" s="232">
        <v>0.1</v>
      </c>
      <c r="K41" s="235">
        <v>503</v>
      </c>
      <c r="L41" s="77"/>
      <c r="M41" s="37">
        <f>F41*G41*H41*I41*Baseline!$F$23</f>
        <v>0</v>
      </c>
      <c r="N41" s="37">
        <f>F41*G41*H41*J41*Baseline!$G$23</f>
        <v>0</v>
      </c>
      <c r="O41" s="60">
        <f>(M41*References!$C$27+N41*References!$C$26)/1000</f>
        <v>0</v>
      </c>
      <c r="P41" s="38">
        <f t="shared" si="4"/>
        <v>0</v>
      </c>
      <c r="Q41" s="38">
        <f>(M41*References!$C$57+Opportunities!N41*References!$C$56)/100</f>
        <v>0</v>
      </c>
      <c r="R41" s="35">
        <f t="shared" si="5"/>
        <v>0</v>
      </c>
      <c r="S41" s="36">
        <f>O41/'Graphs&amp;Analysis'!$D$24</f>
        <v>0</v>
      </c>
      <c r="T41" s="153"/>
      <c r="U41" s="153"/>
      <c r="W41" s="13" t="str">
        <f t="shared" si="2"/>
        <v/>
      </c>
    </row>
    <row r="42" spans="1:23" ht="25.5">
      <c r="A42" s="13" t="str">
        <f>IF(T42="YES",MAX($A$12:A41)+1,"")</f>
        <v/>
      </c>
      <c r="B42" s="20"/>
      <c r="C42" s="5" t="str">
        <f t="shared" si="3"/>
        <v>halls</v>
      </c>
      <c r="D42" s="5" t="s">
        <v>41</v>
      </c>
      <c r="E42" s="5" t="s">
        <v>42</v>
      </c>
      <c r="F42" s="152"/>
      <c r="G42" s="234"/>
      <c r="H42" s="232">
        <v>0.15</v>
      </c>
      <c r="I42" s="232"/>
      <c r="J42" s="232">
        <v>0.35</v>
      </c>
      <c r="K42" s="235">
        <v>458</v>
      </c>
      <c r="L42" s="77"/>
      <c r="M42" s="37">
        <f>F42*G42*H42*I42*Baseline!$F$23</f>
        <v>0</v>
      </c>
      <c r="N42" s="37">
        <f>F42*G42*H42*J42*Baseline!$G$23</f>
        <v>0</v>
      </c>
      <c r="O42" s="60">
        <f>(M42*References!$C$27+N42*References!$C$26)/1000</f>
        <v>0</v>
      </c>
      <c r="P42" s="38">
        <f t="shared" si="4"/>
        <v>0</v>
      </c>
      <c r="Q42" s="38">
        <f>(M42*References!$C$57+Opportunities!N42*References!$C$56)/100</f>
        <v>0</v>
      </c>
      <c r="R42" s="35">
        <f t="shared" si="5"/>
        <v>0</v>
      </c>
      <c r="S42" s="36">
        <f>O42/'Graphs&amp;Analysis'!$D$24</f>
        <v>0</v>
      </c>
      <c r="T42" s="153"/>
      <c r="U42" s="153"/>
      <c r="W42" s="13" t="str">
        <f t="shared" si="2"/>
        <v/>
      </c>
    </row>
    <row r="43" spans="1:23" ht="38.25">
      <c r="A43" s="13" t="str">
        <f>IF(T43="YES",MAX($A$12:A42)+1,"")</f>
        <v/>
      </c>
      <c r="B43" s="20"/>
      <c r="C43" s="5" t="str">
        <f t="shared" si="3"/>
        <v>halls</v>
      </c>
      <c r="D43" s="5" t="s">
        <v>220</v>
      </c>
      <c r="E43" s="222" t="s">
        <v>221</v>
      </c>
      <c r="F43" s="152"/>
      <c r="G43" s="234"/>
      <c r="H43" s="233">
        <v>1</v>
      </c>
      <c r="I43" s="233">
        <v>0.01</v>
      </c>
      <c r="J43" s="231"/>
      <c r="K43" s="235">
        <v>121</v>
      </c>
      <c r="L43" s="77"/>
      <c r="M43" s="37">
        <f>F43*G43*H43*I43*Baseline!$F$23</f>
        <v>0</v>
      </c>
      <c r="N43" s="37">
        <f>F43*G43*H43*J43*Baseline!$G$23</f>
        <v>0</v>
      </c>
      <c r="O43" s="60">
        <f>(M43*References!$C$27+N43*References!$C$26)/1000</f>
        <v>0</v>
      </c>
      <c r="P43" s="38">
        <f t="shared" si="4"/>
        <v>0</v>
      </c>
      <c r="Q43" s="38">
        <f>(M43*References!$C$57+Opportunities!N43*References!$C$56)/100</f>
        <v>0</v>
      </c>
      <c r="R43" s="35">
        <f t="shared" si="5"/>
        <v>0</v>
      </c>
      <c r="S43" s="36">
        <f>O43/'Graphs&amp;Analysis'!$D$24</f>
        <v>0</v>
      </c>
      <c r="T43" s="153"/>
      <c r="U43" s="153"/>
      <c r="W43" s="13" t="str">
        <f t="shared" si="2"/>
        <v/>
      </c>
    </row>
    <row r="44" spans="1:23" ht="30">
      <c r="A44" s="13" t="str">
        <f>IF(T44="YES",MAX($A$12:A43)+1,"")</f>
        <v/>
      </c>
      <c r="B44" s="20"/>
      <c r="C44" s="5" t="str">
        <f t="shared" si="3"/>
        <v>halls</v>
      </c>
      <c r="D44" s="5" t="s">
        <v>220</v>
      </c>
      <c r="E44" s="223" t="s">
        <v>222</v>
      </c>
      <c r="F44" s="152"/>
      <c r="G44" s="234"/>
      <c r="H44" s="233">
        <v>1</v>
      </c>
      <c r="I44" s="233">
        <v>7.0000000000000007E-2</v>
      </c>
      <c r="J44" s="231"/>
      <c r="K44" s="235">
        <v>500</v>
      </c>
      <c r="L44" s="76"/>
      <c r="M44" s="37">
        <f>F44*G44*H44*I44*Baseline!$F$23</f>
        <v>0</v>
      </c>
      <c r="N44" s="37">
        <f>F44*G44*H44*J44*Baseline!$G$23</f>
        <v>0</v>
      </c>
      <c r="O44" s="60">
        <f>(M44*References!$C$27+N44*References!$C$26)/1000</f>
        <v>0</v>
      </c>
      <c r="P44" s="38">
        <f t="shared" si="0"/>
        <v>0</v>
      </c>
      <c r="Q44" s="38">
        <f>(M44*References!$C$57+Opportunities!N44*References!$C$56)/100</f>
        <v>0</v>
      </c>
      <c r="R44" s="35">
        <f t="shared" si="1"/>
        <v>0</v>
      </c>
      <c r="S44" s="36">
        <f>O44/'Graphs&amp;Analysis'!$D$24</f>
        <v>0</v>
      </c>
      <c r="T44" s="153"/>
      <c r="U44" s="153"/>
      <c r="W44" s="13" t="str">
        <f t="shared" si="2"/>
        <v/>
      </c>
    </row>
    <row r="45" spans="1:23" ht="25.5">
      <c r="A45" s="13" t="str">
        <f>IF(T45="YES",MAX($A$12:A44)+1,"")</f>
        <v/>
      </c>
      <c r="B45" s="20"/>
      <c r="C45" s="5" t="str">
        <f t="shared" si="3"/>
        <v>halls</v>
      </c>
      <c r="D45" s="5" t="s">
        <v>220</v>
      </c>
      <c r="E45" s="224" t="s">
        <v>223</v>
      </c>
      <c r="F45" s="152"/>
      <c r="G45" s="234"/>
      <c r="H45" s="233">
        <v>1</v>
      </c>
      <c r="I45" s="233">
        <v>0.02</v>
      </c>
      <c r="J45" s="231"/>
      <c r="K45" s="235">
        <v>153</v>
      </c>
      <c r="L45" s="76"/>
      <c r="M45" s="37">
        <f>F45*G45*H45*I45*Baseline!$F$23</f>
        <v>0</v>
      </c>
      <c r="N45" s="37">
        <f>F45*G45*H45*J45*Baseline!$G$23</f>
        <v>0</v>
      </c>
      <c r="O45" s="60">
        <f>(M45*References!$C$27+N45*References!$C$26)/1000</f>
        <v>0</v>
      </c>
      <c r="P45" s="38">
        <f t="shared" si="0"/>
        <v>0</v>
      </c>
      <c r="Q45" s="38">
        <f>(M45*References!$C$57+Opportunities!N45*References!$C$56)/100</f>
        <v>0</v>
      </c>
      <c r="R45" s="35">
        <f t="shared" si="1"/>
        <v>0</v>
      </c>
      <c r="S45" s="36">
        <f>O45/'Graphs&amp;Analysis'!$D$24</f>
        <v>0</v>
      </c>
      <c r="T45" s="153"/>
      <c r="U45" s="153"/>
      <c r="W45" s="13" t="str">
        <f t="shared" si="2"/>
        <v/>
      </c>
    </row>
    <row r="46" spans="1:23">
      <c r="A46" s="13" t="str">
        <f>IF(T46="YES",MAX($A$12:A45)+1,"")</f>
        <v/>
      </c>
      <c r="B46" s="20"/>
      <c r="C46" s="5" t="str">
        <f t="shared" si="3"/>
        <v>halls</v>
      </c>
      <c r="D46" s="5" t="s">
        <v>52</v>
      </c>
      <c r="E46" s="5"/>
      <c r="F46" s="152"/>
      <c r="G46" s="234"/>
      <c r="H46" s="8"/>
      <c r="I46" s="8"/>
      <c r="J46" s="8"/>
      <c r="K46" s="29">
        <v>500</v>
      </c>
      <c r="L46" s="76"/>
      <c r="M46" s="37">
        <f>F46*G46*H46*I46*Baseline!$F$23</f>
        <v>0</v>
      </c>
      <c r="N46" s="37">
        <f>F46*G46*H46*J46*Baseline!$G$23</f>
        <v>0</v>
      </c>
      <c r="O46" s="60">
        <f>(M46*References!$C$27+N46*References!$C$26)/1000</f>
        <v>0</v>
      </c>
      <c r="P46" s="38">
        <f t="shared" si="0"/>
        <v>0</v>
      </c>
      <c r="Q46" s="38">
        <f>(M46*References!$C$57+Opportunities!N46*References!$C$56)/100</f>
        <v>0</v>
      </c>
      <c r="R46" s="35">
        <f t="shared" si="1"/>
        <v>0</v>
      </c>
      <c r="S46" s="36">
        <f>O46/'Graphs&amp;Analysis'!$D$24</f>
        <v>0</v>
      </c>
      <c r="T46" s="153"/>
      <c r="U46" s="153"/>
      <c r="W46" s="13" t="str">
        <f t="shared" si="2"/>
        <v/>
      </c>
    </row>
    <row r="47" spans="1:23">
      <c r="A47" s="13" t="str">
        <f>IF(T47="YES",MAX($A$12:A46)+1,"")</f>
        <v/>
      </c>
      <c r="B47" s="20"/>
      <c r="C47" s="5" t="str">
        <f t="shared" si="3"/>
        <v>halls</v>
      </c>
      <c r="D47" s="5" t="s">
        <v>52</v>
      </c>
      <c r="E47" s="5"/>
      <c r="F47" s="152"/>
      <c r="G47" s="234"/>
      <c r="H47" s="8"/>
      <c r="I47" s="8"/>
      <c r="J47" s="8"/>
      <c r="K47" s="29">
        <v>500</v>
      </c>
      <c r="L47" s="76"/>
      <c r="M47" s="37">
        <f>F47*G47*H47*I47*Baseline!$F$23</f>
        <v>0</v>
      </c>
      <c r="N47" s="37">
        <f>F47*G47*H47*J47*Baseline!$G$23</f>
        <v>0</v>
      </c>
      <c r="O47" s="60">
        <f>(M47*References!$C$27+N47*References!$C$26)/1000</f>
        <v>0</v>
      </c>
      <c r="P47" s="38">
        <f t="shared" si="0"/>
        <v>0</v>
      </c>
      <c r="Q47" s="38">
        <f>(M47*References!$C$57+Opportunities!N47*References!$C$56)/100</f>
        <v>0</v>
      </c>
      <c r="R47" s="35">
        <f t="shared" si="1"/>
        <v>0</v>
      </c>
      <c r="S47" s="36">
        <f>O47/'Graphs&amp;Analysis'!$D$24</f>
        <v>0</v>
      </c>
      <c r="T47" s="153"/>
      <c r="U47" s="153"/>
      <c r="W47" s="13" t="str">
        <f t="shared" si="2"/>
        <v/>
      </c>
    </row>
    <row r="48" spans="1:23">
      <c r="A48" s="13" t="str">
        <f>IF(T48="YES",MAX($A$12:A47)+1,"")</f>
        <v/>
      </c>
      <c r="B48" s="20"/>
      <c r="C48" s="5" t="str">
        <f t="shared" si="3"/>
        <v>halls</v>
      </c>
      <c r="D48" s="5" t="s">
        <v>52</v>
      </c>
      <c r="E48" s="5"/>
      <c r="F48" s="152"/>
      <c r="G48" s="234"/>
      <c r="H48" s="8"/>
      <c r="I48" s="8"/>
      <c r="J48" s="8"/>
      <c r="K48" s="29">
        <v>500</v>
      </c>
      <c r="L48" s="76"/>
      <c r="M48" s="37">
        <f>F48*G48*H48*I48*Baseline!$F$23</f>
        <v>0</v>
      </c>
      <c r="N48" s="37">
        <f>F48*G48*H48*J48*Baseline!$G$23</f>
        <v>0</v>
      </c>
      <c r="O48" s="60">
        <f>(M48*References!$C$27+N48*References!$C$26)/1000</f>
        <v>0</v>
      </c>
      <c r="P48" s="38">
        <f t="shared" si="0"/>
        <v>0</v>
      </c>
      <c r="Q48" s="38">
        <f>(M48*References!$C$57+Opportunities!N48*References!$C$56)/100</f>
        <v>0</v>
      </c>
      <c r="R48" s="35">
        <f t="shared" si="1"/>
        <v>0</v>
      </c>
      <c r="S48" s="36">
        <f>O48/'Graphs&amp;Analysis'!$D$24</f>
        <v>0</v>
      </c>
      <c r="T48" s="153"/>
      <c r="U48" s="153"/>
      <c r="W48" s="13" t="str">
        <f t="shared" si="2"/>
        <v/>
      </c>
    </row>
    <row r="49" spans="1:23">
      <c r="A49" s="13" t="str">
        <f>IF(T49="YES",MAX($A$12:A48)+1,"")</f>
        <v/>
      </c>
      <c r="C49" s="23"/>
      <c r="D49" s="23"/>
      <c r="E49" s="79"/>
      <c r="F49" s="23"/>
      <c r="G49" s="23"/>
      <c r="H49" s="23"/>
      <c r="I49" s="74"/>
      <c r="J49" s="23"/>
      <c r="K49" s="23"/>
      <c r="M49" s="23"/>
      <c r="N49" s="23"/>
      <c r="O49" s="23"/>
      <c r="P49" s="23"/>
      <c r="Q49" s="23"/>
      <c r="R49" s="23"/>
      <c r="S49" s="23"/>
      <c r="T49" s="23"/>
      <c r="U49" s="23"/>
    </row>
    <row r="50" spans="1:23">
      <c r="A50" s="13" t="str">
        <f>IF(T50="YES",MAX($A$12:A49)+1,"")</f>
        <v/>
      </c>
      <c r="B50" s="252" t="s">
        <v>128</v>
      </c>
      <c r="C50" s="252"/>
      <c r="I50" s="67"/>
      <c r="K50" s="68" t="s">
        <v>3</v>
      </c>
      <c r="L50" s="68"/>
      <c r="M50" s="69">
        <f>SUM(M13:M49)</f>
        <v>2729848.6154863629</v>
      </c>
      <c r="N50" s="69">
        <f>SUM(N13:N49)</f>
        <v>2095962.3909000002</v>
      </c>
      <c r="O50" s="69">
        <f>SUM(O13:O49)</f>
        <v>1630.5138215676307</v>
      </c>
    </row>
    <row r="51" spans="1:23">
      <c r="A51" s="13" t="str">
        <f>IF(T51="YES",MAX($A$12:A50)+1,"")</f>
        <v/>
      </c>
      <c r="I51" s="67"/>
      <c r="K51" s="68" t="str">
        <f>CONCATENATE("Savings as a % of  ",C13," emissions")</f>
        <v>Savings as a % of  halls emissions</v>
      </c>
      <c r="L51" s="68"/>
      <c r="M51" s="62">
        <f>M50/Baseline!$F$23</f>
        <v>0.4357727272727272</v>
      </c>
      <c r="N51" s="62">
        <f>N50/Baseline!$G$23</f>
        <v>0.18785294117647058</v>
      </c>
      <c r="O51" s="62">
        <f>O50/Baseline!$H$23</f>
        <v>0.22802779501964912</v>
      </c>
    </row>
    <row r="52" spans="1:23">
      <c r="A52" s="13" t="str">
        <f>IF(T52="YES",MAX($A$12:A51)+1,"")</f>
        <v/>
      </c>
    </row>
    <row r="53" spans="1:23">
      <c r="A53" s="13" t="str">
        <f>IF(T53="YES",MAX($A$12:A52)+1,"")</f>
        <v/>
      </c>
      <c r="I53" s="67"/>
    </row>
    <row r="54" spans="1:23">
      <c r="A54" s="13" t="str">
        <f>IF(T54="YES",MAX($A$12:A53)+1,"")</f>
        <v/>
      </c>
      <c r="B54" s="66" t="s">
        <v>190</v>
      </c>
      <c r="C54" s="73"/>
      <c r="D54" s="22"/>
      <c r="E54" s="237"/>
      <c r="F54" s="22"/>
      <c r="G54" s="22"/>
      <c r="H54" s="22"/>
      <c r="I54" s="22"/>
      <c r="J54" s="22"/>
      <c r="K54" s="22"/>
      <c r="M54" s="22"/>
      <c r="N54" s="22"/>
      <c r="O54" s="22"/>
      <c r="P54" s="22"/>
      <c r="Q54" s="22"/>
      <c r="R54" s="22"/>
      <c r="S54" s="22"/>
      <c r="T54" s="22"/>
      <c r="U54" s="22"/>
    </row>
    <row r="55" spans="1:23" ht="51">
      <c r="A55" s="13" t="str">
        <f>IF(T55="YES",MAX($A$12:A54)+1,"")</f>
        <v/>
      </c>
      <c r="B55" s="20"/>
      <c r="C55" s="1" t="s">
        <v>151</v>
      </c>
      <c r="D55" s="1" t="s">
        <v>5</v>
      </c>
      <c r="E55" s="1" t="s">
        <v>6</v>
      </c>
      <c r="F55" s="1" t="s">
        <v>7</v>
      </c>
      <c r="G55" s="1" t="s">
        <v>8</v>
      </c>
      <c r="H55" s="1" t="s">
        <v>9</v>
      </c>
      <c r="I55" s="1" t="s">
        <v>10</v>
      </c>
      <c r="J55" s="1" t="s">
        <v>11</v>
      </c>
      <c r="K55" s="1" t="s">
        <v>109</v>
      </c>
      <c r="L55" s="75"/>
      <c r="M55" s="1" t="s">
        <v>12</v>
      </c>
      <c r="N55" s="1" t="s">
        <v>13</v>
      </c>
      <c r="O55" s="1" t="s">
        <v>14</v>
      </c>
      <c r="P55" s="1" t="s">
        <v>108</v>
      </c>
      <c r="Q55" s="1" t="s">
        <v>111</v>
      </c>
      <c r="R55" s="1" t="s">
        <v>150</v>
      </c>
      <c r="S55" s="1" t="s">
        <v>77</v>
      </c>
      <c r="T55" s="1" t="s">
        <v>110</v>
      </c>
      <c r="U55" s="1" t="s">
        <v>160</v>
      </c>
    </row>
    <row r="56" spans="1:23">
      <c r="A56" s="13" t="str">
        <f>IF(T56="YES",MAX($A$12:A55)+1,"")</f>
        <v/>
      </c>
      <c r="B56" s="20"/>
      <c r="C56" s="5" t="str">
        <f>Baseline!C24</f>
        <v>Buildings Category 2</v>
      </c>
      <c r="D56" s="5" t="s">
        <v>15</v>
      </c>
      <c r="E56" s="5" t="s">
        <v>16</v>
      </c>
      <c r="F56" s="152"/>
      <c r="G56" s="234"/>
      <c r="H56" s="233">
        <v>2.9411764705882346E-2</v>
      </c>
      <c r="I56" s="231"/>
      <c r="J56" s="233">
        <v>0.05</v>
      </c>
      <c r="K56" s="235">
        <v>500</v>
      </c>
      <c r="L56" s="78"/>
      <c r="M56" s="37">
        <f>F56*G56*H56*I56*Baseline!$F$23</f>
        <v>0</v>
      </c>
      <c r="N56" s="37">
        <f>F56*G56*H56*J56*Baseline!$G$23</f>
        <v>0</v>
      </c>
      <c r="O56" s="60">
        <f>(M56*References!$C$27+N56*References!$C$26)/1000</f>
        <v>0</v>
      </c>
      <c r="P56" s="38">
        <f t="shared" ref="P56:P91" si="6">O56*K56</f>
        <v>0</v>
      </c>
      <c r="Q56" s="38">
        <f>(M56*References!$C$57+Opportunities!N56*References!$C$56)/100</f>
        <v>0</v>
      </c>
      <c r="R56" s="35">
        <f t="shared" ref="R56:R91" si="7">IF(ISERROR(P56/Q56),0,P56/Q56)</f>
        <v>0</v>
      </c>
      <c r="S56" s="36">
        <f>O56/'Graphs&amp;Analysis'!$D$24</f>
        <v>0</v>
      </c>
      <c r="T56" s="153"/>
      <c r="U56" s="153"/>
      <c r="W56" s="13" t="str">
        <f t="shared" ref="W56:W92" si="8">IF(O56&gt;0,"Buildings","")</f>
        <v/>
      </c>
    </row>
    <row r="57" spans="1:23" ht="25.5">
      <c r="A57" s="13" t="str">
        <f>IF(T57="YES",MAX($A$12:A56)+1,"")</f>
        <v/>
      </c>
      <c r="B57" s="20"/>
      <c r="C57" s="5" t="str">
        <f>C56</f>
        <v>Buildings Category 2</v>
      </c>
      <c r="D57" s="5" t="s">
        <v>17</v>
      </c>
      <c r="E57" s="5" t="s">
        <v>18</v>
      </c>
      <c r="F57" s="152"/>
      <c r="G57" s="234"/>
      <c r="H57" s="233">
        <v>2.9411764705882346E-2</v>
      </c>
      <c r="I57" s="231"/>
      <c r="J57" s="233">
        <v>0.05</v>
      </c>
      <c r="K57" s="235">
        <v>500</v>
      </c>
      <c r="L57" s="77"/>
      <c r="M57" s="37">
        <f>F57*G57*H57*I57*Baseline!$F$24</f>
        <v>0</v>
      </c>
      <c r="N57" s="37">
        <f>F57*G57*H57*J57*Baseline!$G$24</f>
        <v>0</v>
      </c>
      <c r="O57" s="60">
        <f>(M57*References!$C$27+N57*References!$C$26)/1000</f>
        <v>0</v>
      </c>
      <c r="P57" s="38">
        <f t="shared" si="6"/>
        <v>0</v>
      </c>
      <c r="Q57" s="38">
        <f>(M57*References!$C$57+Opportunities!N57*References!$C$56)/100</f>
        <v>0</v>
      </c>
      <c r="R57" s="35">
        <f t="shared" si="7"/>
        <v>0</v>
      </c>
      <c r="S57" s="36">
        <f>O57/'Graphs&amp;Analysis'!$D$24</f>
        <v>0</v>
      </c>
      <c r="T57" s="153"/>
      <c r="U57" s="153"/>
      <c r="W57" s="13" t="str">
        <f t="shared" si="8"/>
        <v/>
      </c>
    </row>
    <row r="58" spans="1:23">
      <c r="A58" s="13">
        <f>IF(T58="YES",MAX($A$12:A57)+1,"")</f>
        <v>17</v>
      </c>
      <c r="B58" s="20"/>
      <c r="C58" s="5" t="str">
        <f t="shared" ref="C58:C91" si="9">C57</f>
        <v>Buildings Category 2</v>
      </c>
      <c r="D58" s="5" t="s">
        <v>24</v>
      </c>
      <c r="E58" s="5" t="s">
        <v>24</v>
      </c>
      <c r="F58" s="152">
        <v>1</v>
      </c>
      <c r="G58" s="234">
        <v>0.3</v>
      </c>
      <c r="H58" s="233">
        <v>0.5</v>
      </c>
      <c r="I58" s="233">
        <v>0.05</v>
      </c>
      <c r="J58" s="233">
        <v>0.02</v>
      </c>
      <c r="K58" s="235">
        <v>470</v>
      </c>
      <c r="L58" s="77"/>
      <c r="M58" s="37">
        <f>F58*G58*H58*I58*Baseline!$F$24</f>
        <v>90000</v>
      </c>
      <c r="N58" s="37">
        <f>F58*G58*H58*J58*Baseline!$G$24</f>
        <v>22800</v>
      </c>
      <c r="O58" s="60">
        <f>(M58*References!$C$27+N58*References!$C$26)/1000</f>
        <v>28.891355999999998</v>
      </c>
      <c r="P58" s="38">
        <f t="shared" si="6"/>
        <v>13578.937319999999</v>
      </c>
      <c r="Q58" s="38">
        <f>(M58*References!$C$57+Opportunities!N58*References!$C$56)/100</f>
        <v>4524</v>
      </c>
      <c r="R58" s="35">
        <f t="shared" si="7"/>
        <v>3.001533448275862</v>
      </c>
      <c r="S58" s="36">
        <f>O58/'Graphs&amp;Analysis'!$D$24</f>
        <v>1.8580024692496846E-3</v>
      </c>
      <c r="T58" s="153" t="s">
        <v>124</v>
      </c>
      <c r="U58" s="153"/>
      <c r="W58" s="13" t="str">
        <f t="shared" si="8"/>
        <v>Buildings</v>
      </c>
    </row>
    <row r="59" spans="1:23">
      <c r="A59" s="13" t="str">
        <f>IF(T59="YES",MAX($A$12:A58)+1,"")</f>
        <v/>
      </c>
      <c r="B59" s="20"/>
      <c r="C59" s="5" t="str">
        <f t="shared" si="9"/>
        <v>Buildings Category 2</v>
      </c>
      <c r="D59" s="5" t="s">
        <v>25</v>
      </c>
      <c r="E59" s="5" t="s">
        <v>26</v>
      </c>
      <c r="F59" s="152"/>
      <c r="G59" s="234"/>
      <c r="H59" s="233">
        <v>0.5</v>
      </c>
      <c r="I59" s="233">
        <v>0.05</v>
      </c>
      <c r="J59" s="233">
        <v>0.02</v>
      </c>
      <c r="K59" s="235">
        <v>427</v>
      </c>
      <c r="L59" s="77"/>
      <c r="M59" s="37">
        <f>F59*G59*H59*I59*Baseline!$F$24</f>
        <v>0</v>
      </c>
      <c r="N59" s="37">
        <f>F59*G59*H59*J59*Baseline!$G$24</f>
        <v>0</v>
      </c>
      <c r="O59" s="60">
        <f>(M59*References!$C$27+N59*References!$C$26)/1000</f>
        <v>0</v>
      </c>
      <c r="P59" s="38">
        <f t="shared" si="6"/>
        <v>0</v>
      </c>
      <c r="Q59" s="38">
        <f>(M59*References!$C$57+Opportunities!N59*References!$C$56)/100</f>
        <v>0</v>
      </c>
      <c r="R59" s="35">
        <f t="shared" si="7"/>
        <v>0</v>
      </c>
      <c r="S59" s="36">
        <f>O59/'Graphs&amp;Analysis'!$D$24</f>
        <v>0</v>
      </c>
      <c r="T59" s="153"/>
      <c r="U59" s="153"/>
      <c r="W59" s="13" t="str">
        <f t="shared" si="8"/>
        <v/>
      </c>
    </row>
    <row r="60" spans="1:23">
      <c r="A60" s="13" t="str">
        <f>IF(T60="YES",MAX($A$12:A59)+1,"")</f>
        <v/>
      </c>
      <c r="B60" s="20"/>
      <c r="C60" s="5" t="str">
        <f t="shared" si="9"/>
        <v>Buildings Category 2</v>
      </c>
      <c r="D60" s="5" t="s">
        <v>19</v>
      </c>
      <c r="E60" s="5" t="s">
        <v>22</v>
      </c>
      <c r="F60" s="152"/>
      <c r="G60" s="234"/>
      <c r="H60" s="233">
        <v>0.93939393939393934</v>
      </c>
      <c r="I60" s="232">
        <v>0.05</v>
      </c>
      <c r="J60" s="231"/>
      <c r="K60" s="235">
        <v>628</v>
      </c>
      <c r="L60" s="77"/>
      <c r="M60" s="37">
        <f>F60*G60*H60*I60*Baseline!$F$24</f>
        <v>0</v>
      </c>
      <c r="N60" s="37">
        <f>F60*G60*H60*J60*Baseline!$G$24</f>
        <v>0</v>
      </c>
      <c r="O60" s="60">
        <f>(M60*References!$C$27+N60*References!$C$26)/1000</f>
        <v>0</v>
      </c>
      <c r="P60" s="38">
        <f t="shared" si="6"/>
        <v>0</v>
      </c>
      <c r="Q60" s="38">
        <f>(M60*References!$C$57+Opportunities!N60*References!$C$56)/100</f>
        <v>0</v>
      </c>
      <c r="R60" s="35">
        <f t="shared" si="7"/>
        <v>0</v>
      </c>
      <c r="S60" s="36">
        <f>O60/'Graphs&amp;Analysis'!$D$24</f>
        <v>0</v>
      </c>
      <c r="T60" s="153"/>
      <c r="U60" s="153"/>
      <c r="W60" s="13" t="str">
        <f t="shared" si="8"/>
        <v/>
      </c>
    </row>
    <row r="61" spans="1:23">
      <c r="A61" s="13" t="str">
        <f>IF(T61="YES",MAX($A$12:A60)+1,"")</f>
        <v/>
      </c>
      <c r="B61" s="20"/>
      <c r="C61" s="5" t="str">
        <f t="shared" si="9"/>
        <v>Buildings Category 2</v>
      </c>
      <c r="D61" s="5" t="s">
        <v>19</v>
      </c>
      <c r="E61" s="5" t="s">
        <v>23</v>
      </c>
      <c r="F61" s="152"/>
      <c r="G61" s="234"/>
      <c r="H61" s="233">
        <v>0.93939393939393934</v>
      </c>
      <c r="I61" s="232">
        <v>0.1</v>
      </c>
      <c r="J61" s="231"/>
      <c r="K61" s="235">
        <v>574</v>
      </c>
      <c r="L61" s="77"/>
      <c r="M61" s="37">
        <f>F61*G61*H61*I61*Baseline!$F$24</f>
        <v>0</v>
      </c>
      <c r="N61" s="37">
        <f>F61*G61*H61*J61*Baseline!$G$24</f>
        <v>0</v>
      </c>
      <c r="O61" s="60">
        <f>(M61*References!$C$27+N61*References!$C$26)/1000</f>
        <v>0</v>
      </c>
      <c r="P61" s="38">
        <f t="shared" si="6"/>
        <v>0</v>
      </c>
      <c r="Q61" s="38">
        <f>(M61*References!$C$57+Opportunities!N61*References!$C$56)/100</f>
        <v>0</v>
      </c>
      <c r="R61" s="35">
        <f t="shared" si="7"/>
        <v>0</v>
      </c>
      <c r="S61" s="36">
        <f>O61/'Graphs&amp;Analysis'!$D$24</f>
        <v>0</v>
      </c>
      <c r="T61" s="153"/>
      <c r="U61" s="153"/>
      <c r="W61" s="13" t="str">
        <f t="shared" si="8"/>
        <v/>
      </c>
    </row>
    <row r="62" spans="1:23">
      <c r="A62" s="13">
        <f>IF(T62="YES",MAX($A$12:A61)+1,"")</f>
        <v>18</v>
      </c>
      <c r="B62" s="20"/>
      <c r="C62" s="5" t="str">
        <f t="shared" si="9"/>
        <v>Buildings Category 2</v>
      </c>
      <c r="D62" s="5" t="s">
        <v>19</v>
      </c>
      <c r="E62" s="5" t="s">
        <v>21</v>
      </c>
      <c r="F62" s="152">
        <v>1</v>
      </c>
      <c r="G62" s="234">
        <v>0.3</v>
      </c>
      <c r="H62" s="233">
        <v>0.93939393939393934</v>
      </c>
      <c r="I62" s="232">
        <v>0.05</v>
      </c>
      <c r="J62" s="231"/>
      <c r="K62" s="235">
        <v>566</v>
      </c>
      <c r="L62" s="77"/>
      <c r="M62" s="37">
        <f>F62*G62*H62*I62*Baseline!$F$24</f>
        <v>169090.90909090909</v>
      </c>
      <c r="N62" s="37">
        <f>F62*G62*H62*J62*Baseline!$G$24</f>
        <v>0</v>
      </c>
      <c r="O62" s="60">
        <f>(M62*References!$C$27+N62*References!$C$26)/1000</f>
        <v>31.276745454545452</v>
      </c>
      <c r="P62" s="38">
        <f t="shared" si="6"/>
        <v>17702.637927272724</v>
      </c>
      <c r="Q62" s="38">
        <f>(M62*References!$C$57+Opportunities!N62*References!$C$56)/100</f>
        <v>5072.727272727273</v>
      </c>
      <c r="R62" s="35">
        <f t="shared" si="7"/>
        <v>3.4897673333333326</v>
      </c>
      <c r="S62" s="36">
        <f>O62/'Graphs&amp;Analysis'!$D$24</f>
        <v>2.0114068126341768E-3</v>
      </c>
      <c r="T62" s="153" t="s">
        <v>124</v>
      </c>
      <c r="U62" s="153"/>
      <c r="W62" s="13" t="str">
        <f t="shared" si="8"/>
        <v>Buildings</v>
      </c>
    </row>
    <row r="63" spans="1:23">
      <c r="A63" s="13" t="str">
        <f>IF(T63="YES",MAX($A$12:A62)+1,"")</f>
        <v/>
      </c>
      <c r="B63" s="20"/>
      <c r="C63" s="5" t="str">
        <f t="shared" si="9"/>
        <v>Buildings Category 2</v>
      </c>
      <c r="D63" s="5" t="s">
        <v>19</v>
      </c>
      <c r="E63" s="5" t="s">
        <v>20</v>
      </c>
      <c r="F63" s="152"/>
      <c r="G63" s="234"/>
      <c r="H63" s="233">
        <v>0.93939393939393934</v>
      </c>
      <c r="I63" s="232">
        <v>0.1</v>
      </c>
      <c r="J63" s="231"/>
      <c r="K63" s="235">
        <v>750</v>
      </c>
      <c r="L63" s="77"/>
      <c r="M63" s="37">
        <f>F63*G63*H63*I63*Baseline!$F$24</f>
        <v>0</v>
      </c>
      <c r="N63" s="37">
        <f>F63*G63*H63*J63*Baseline!$G$24</f>
        <v>0</v>
      </c>
      <c r="O63" s="60">
        <f>(M63*References!$C$27+N63*References!$C$26)/1000</f>
        <v>0</v>
      </c>
      <c r="P63" s="38">
        <f t="shared" si="6"/>
        <v>0</v>
      </c>
      <c r="Q63" s="38">
        <f>(M63*References!$C$57+Opportunities!N63*References!$C$56)/100</f>
        <v>0</v>
      </c>
      <c r="R63" s="35">
        <f t="shared" si="7"/>
        <v>0</v>
      </c>
      <c r="S63" s="36">
        <f>O63/'Graphs&amp;Analysis'!$D$24</f>
        <v>0</v>
      </c>
      <c r="T63" s="153"/>
      <c r="U63" s="153"/>
      <c r="W63" s="13" t="str">
        <f t="shared" si="8"/>
        <v/>
      </c>
    </row>
    <row r="64" spans="1:23" ht="25.5">
      <c r="A64" s="13">
        <f>IF(T64="YES",MAX($A$12:A63)+1,"")</f>
        <v>19</v>
      </c>
      <c r="B64" s="20"/>
      <c r="C64" s="5" t="str">
        <f t="shared" si="9"/>
        <v>Buildings Category 2</v>
      </c>
      <c r="D64" s="5" t="s">
        <v>29</v>
      </c>
      <c r="E64" s="5" t="s">
        <v>30</v>
      </c>
      <c r="F64" s="152">
        <v>1</v>
      </c>
      <c r="G64" s="234">
        <v>0.3</v>
      </c>
      <c r="H64" s="233">
        <v>0.93939393939393934</v>
      </c>
      <c r="I64" s="232">
        <v>0.15</v>
      </c>
      <c r="J64" s="231"/>
      <c r="K64" s="235">
        <v>641</v>
      </c>
      <c r="L64" s="77"/>
      <c r="M64" s="37">
        <f>F64*G64*H64*I64*Baseline!$F$24</f>
        <v>507272.72727272724</v>
      </c>
      <c r="N64" s="37">
        <f>F64*G64*H64*J64*Baseline!$G$24</f>
        <v>0</v>
      </c>
      <c r="O64" s="60">
        <f>(M64*References!$C$27+N64*References!$C$26)/1000</f>
        <v>93.830236363636359</v>
      </c>
      <c r="P64" s="38">
        <f t="shared" si="6"/>
        <v>60145.181509090908</v>
      </c>
      <c r="Q64" s="38">
        <f>(M64*References!$C$57+Opportunities!N64*References!$C$56)/100</f>
        <v>15218.181818181816</v>
      </c>
      <c r="R64" s="35">
        <f t="shared" si="7"/>
        <v>3.952192333333334</v>
      </c>
      <c r="S64" s="36">
        <f>O64/'Graphs&amp;Analysis'!$D$24</f>
        <v>6.0342204379025309E-3</v>
      </c>
      <c r="T64" s="153" t="s">
        <v>124</v>
      </c>
      <c r="U64" s="153"/>
      <c r="W64" s="13" t="str">
        <f t="shared" si="8"/>
        <v>Buildings</v>
      </c>
    </row>
    <row r="65" spans="1:23">
      <c r="A65" s="13" t="str">
        <f>IF(T65="YES",MAX($A$12:A64)+1,"")</f>
        <v/>
      </c>
      <c r="B65" s="20"/>
      <c r="C65" s="5" t="str">
        <f t="shared" si="9"/>
        <v>Buildings Category 2</v>
      </c>
      <c r="D65" s="5" t="s">
        <v>29</v>
      </c>
      <c r="E65" s="5" t="s">
        <v>31</v>
      </c>
      <c r="F65" s="152"/>
      <c r="G65" s="234"/>
      <c r="H65" s="233">
        <v>0.93939393939393934</v>
      </c>
      <c r="I65" s="232">
        <v>0.1</v>
      </c>
      <c r="J65" s="231"/>
      <c r="K65" s="235">
        <v>396</v>
      </c>
      <c r="L65" s="77"/>
      <c r="M65" s="37">
        <f>F65*G65*H65*I65*Baseline!$F$24</f>
        <v>0</v>
      </c>
      <c r="N65" s="37">
        <f>F65*G65*H65*J65*Baseline!$G$24</f>
        <v>0</v>
      </c>
      <c r="O65" s="60">
        <f>(M65*References!$C$27+N65*References!$C$26)/1000</f>
        <v>0</v>
      </c>
      <c r="P65" s="38">
        <f t="shared" si="6"/>
        <v>0</v>
      </c>
      <c r="Q65" s="38">
        <f>(M65*References!$C$57+Opportunities!N65*References!$C$56)/100</f>
        <v>0</v>
      </c>
      <c r="R65" s="35">
        <f t="shared" si="7"/>
        <v>0</v>
      </c>
      <c r="S65" s="36">
        <f>O65/'Graphs&amp;Analysis'!$D$24</f>
        <v>0</v>
      </c>
      <c r="T65" s="153"/>
      <c r="U65" s="153"/>
      <c r="W65" s="13" t="str">
        <f t="shared" si="8"/>
        <v/>
      </c>
    </row>
    <row r="66" spans="1:23">
      <c r="A66" s="13">
        <f>IF(T66="YES",MAX($A$12:A65)+1,"")</f>
        <v>20</v>
      </c>
      <c r="B66" s="20"/>
      <c r="C66" s="5" t="str">
        <f t="shared" si="9"/>
        <v>Buildings Category 2</v>
      </c>
      <c r="D66" s="5" t="s">
        <v>29</v>
      </c>
      <c r="E66" s="5" t="s">
        <v>32</v>
      </c>
      <c r="F66" s="152">
        <v>1</v>
      </c>
      <c r="G66" s="234">
        <v>0.3</v>
      </c>
      <c r="H66" s="233">
        <v>0.93939393939393934</v>
      </c>
      <c r="I66" s="232">
        <v>7.0000000000000007E-2</v>
      </c>
      <c r="J66" s="231"/>
      <c r="K66" s="235">
        <v>470</v>
      </c>
      <c r="L66" s="77"/>
      <c r="M66" s="37">
        <f>F66*G66*H66*I66*Baseline!$F$24</f>
        <v>236727.27272727274</v>
      </c>
      <c r="N66" s="37">
        <f>F66*G66*H66*J66*Baseline!$G$24</f>
        <v>0</v>
      </c>
      <c r="O66" s="60">
        <f>(M66*References!$C$27+N66*References!$C$26)/1000</f>
        <v>43.787443636363633</v>
      </c>
      <c r="P66" s="38">
        <f t="shared" si="6"/>
        <v>20580.098509090909</v>
      </c>
      <c r="Q66" s="38">
        <f>(M66*References!$C$57+Opportunities!N66*References!$C$56)/100</f>
        <v>7101.818181818182</v>
      </c>
      <c r="R66" s="35">
        <f t="shared" si="7"/>
        <v>2.8978633333333335</v>
      </c>
      <c r="S66" s="36">
        <f>O66/'Graphs&amp;Analysis'!$D$24</f>
        <v>2.8159695376878476E-3</v>
      </c>
      <c r="T66" s="153" t="s">
        <v>124</v>
      </c>
      <c r="U66" s="153"/>
      <c r="W66" s="13" t="str">
        <f t="shared" si="8"/>
        <v>Buildings</v>
      </c>
    </row>
    <row r="67" spans="1:23">
      <c r="A67" s="13" t="str">
        <f>IF(T67="YES",MAX($A$12:A66)+1,"")</f>
        <v/>
      </c>
      <c r="B67" s="20"/>
      <c r="C67" s="5" t="str">
        <f t="shared" si="9"/>
        <v>Buildings Category 2</v>
      </c>
      <c r="D67" s="5" t="s">
        <v>29</v>
      </c>
      <c r="E67" s="5" t="s">
        <v>33</v>
      </c>
      <c r="F67" s="152"/>
      <c r="G67" s="234"/>
      <c r="H67" s="233">
        <v>0.93939393939393934</v>
      </c>
      <c r="I67" s="232">
        <v>0.05</v>
      </c>
      <c r="J67" s="231"/>
      <c r="K67" s="235">
        <v>682</v>
      </c>
      <c r="L67" s="77"/>
      <c r="M67" s="37">
        <f>F67*G67*H67*I67*Baseline!$F$24</f>
        <v>0</v>
      </c>
      <c r="N67" s="37">
        <f>F67*G67*H67*J67*Baseline!$G$24</f>
        <v>0</v>
      </c>
      <c r="O67" s="60">
        <f>(M67*References!$C$27+N67*References!$C$26)/1000</f>
        <v>0</v>
      </c>
      <c r="P67" s="38">
        <f t="shared" si="6"/>
        <v>0</v>
      </c>
      <c r="Q67" s="38">
        <f>(M67*References!$C$57+Opportunities!N67*References!$C$56)/100</f>
        <v>0</v>
      </c>
      <c r="R67" s="35">
        <f t="shared" si="7"/>
        <v>0</v>
      </c>
      <c r="S67" s="36">
        <f>O67/'Graphs&amp;Analysis'!$D$24</f>
        <v>0</v>
      </c>
      <c r="T67" s="153"/>
      <c r="U67" s="153"/>
      <c r="W67" s="13" t="str">
        <f t="shared" si="8"/>
        <v/>
      </c>
    </row>
    <row r="68" spans="1:23" ht="25.5">
      <c r="A68" s="13" t="str">
        <f>IF(T68="YES",MAX($A$12:A67)+1,"")</f>
        <v/>
      </c>
      <c r="B68" s="20"/>
      <c r="C68" s="5" t="str">
        <f t="shared" si="9"/>
        <v>Buildings Category 2</v>
      </c>
      <c r="D68" s="5" t="s">
        <v>34</v>
      </c>
      <c r="E68" s="5" t="s">
        <v>35</v>
      </c>
      <c r="F68" s="152"/>
      <c r="G68" s="234"/>
      <c r="H68" s="232">
        <v>0.05</v>
      </c>
      <c r="I68" s="232">
        <v>0.7</v>
      </c>
      <c r="J68" s="231"/>
      <c r="K68" s="235">
        <v>472</v>
      </c>
      <c r="L68" s="77"/>
      <c r="M68" s="37">
        <f>F68*G68*H68*I68*Baseline!$F$24</f>
        <v>0</v>
      </c>
      <c r="N68" s="37">
        <f>F68*G68*H68*J68*Baseline!$G$24</f>
        <v>0</v>
      </c>
      <c r="O68" s="60">
        <f>(M68*References!$C$27+N68*References!$C$26)/1000</f>
        <v>0</v>
      </c>
      <c r="P68" s="38">
        <f t="shared" si="6"/>
        <v>0</v>
      </c>
      <c r="Q68" s="38">
        <f>(M68*References!$C$57+Opportunities!N68*References!$C$56)/100</f>
        <v>0</v>
      </c>
      <c r="R68" s="35">
        <f t="shared" si="7"/>
        <v>0</v>
      </c>
      <c r="S68" s="36">
        <f>O68/'Graphs&amp;Analysis'!$D$24</f>
        <v>0</v>
      </c>
      <c r="T68" s="153"/>
      <c r="U68" s="153"/>
      <c r="W68" s="13" t="str">
        <f t="shared" si="8"/>
        <v/>
      </c>
    </row>
    <row r="69" spans="1:23" ht="25.5">
      <c r="A69" s="13" t="str">
        <f>IF(T69="YES",MAX($A$12:A68)+1,"")</f>
        <v/>
      </c>
      <c r="B69" s="20"/>
      <c r="C69" s="5" t="str">
        <f t="shared" si="9"/>
        <v>Buildings Category 2</v>
      </c>
      <c r="D69" s="5" t="s">
        <v>27</v>
      </c>
      <c r="E69" s="5" t="s">
        <v>122</v>
      </c>
      <c r="F69" s="152"/>
      <c r="G69" s="234"/>
      <c r="H69" s="232">
        <v>1</v>
      </c>
      <c r="I69" s="232">
        <v>0.8</v>
      </c>
      <c r="J69" s="231"/>
      <c r="K69" s="235">
        <v>803</v>
      </c>
      <c r="L69" s="77"/>
      <c r="M69" s="37">
        <f>F69*G69*H69*I69*Baseline!$F$24</f>
        <v>0</v>
      </c>
      <c r="N69" s="37">
        <f>F69*G69*H69*J69*Baseline!$G$24</f>
        <v>0</v>
      </c>
      <c r="O69" s="60">
        <f>(M69*References!$C$27+N69*References!$C$26)/1000</f>
        <v>0</v>
      </c>
      <c r="P69" s="38">
        <f t="shared" si="6"/>
        <v>0</v>
      </c>
      <c r="Q69" s="38">
        <f>(M69*References!$C$57+Opportunities!N69*References!$C$56)/100</f>
        <v>0</v>
      </c>
      <c r="R69" s="35">
        <f t="shared" si="7"/>
        <v>0</v>
      </c>
      <c r="S69" s="36">
        <f>O69/'Graphs&amp;Analysis'!$D$24</f>
        <v>0</v>
      </c>
      <c r="T69" s="153"/>
      <c r="U69" s="153"/>
      <c r="W69" s="13" t="str">
        <f t="shared" si="8"/>
        <v/>
      </c>
    </row>
    <row r="70" spans="1:23" ht="25.5">
      <c r="A70" s="13" t="str">
        <f>IF(T70="YES",MAX($A$12:A69)+1,"")</f>
        <v/>
      </c>
      <c r="B70" s="20"/>
      <c r="C70" s="5" t="str">
        <f t="shared" si="9"/>
        <v>Buildings Category 2</v>
      </c>
      <c r="D70" s="5" t="s">
        <v>27</v>
      </c>
      <c r="E70" s="5" t="s">
        <v>28</v>
      </c>
      <c r="F70" s="152"/>
      <c r="G70" s="234"/>
      <c r="H70" s="232">
        <v>1</v>
      </c>
      <c r="I70" s="232">
        <v>0.2</v>
      </c>
      <c r="J70" s="231"/>
      <c r="K70" s="235">
        <v>803</v>
      </c>
      <c r="L70" s="77"/>
      <c r="M70" s="37">
        <f>F70*G70*H70*I70*Baseline!$F$24</f>
        <v>0</v>
      </c>
      <c r="N70" s="37">
        <f>F70*G70*H70*J70*Baseline!$G$24</f>
        <v>0</v>
      </c>
      <c r="O70" s="60">
        <f>(M70*References!$C$27+N70*References!$C$26)/1000</f>
        <v>0</v>
      </c>
      <c r="P70" s="38">
        <f t="shared" si="6"/>
        <v>0</v>
      </c>
      <c r="Q70" s="38">
        <f>(M70*References!$C$57+Opportunities!N70*References!$C$56)/100</f>
        <v>0</v>
      </c>
      <c r="R70" s="35">
        <f t="shared" si="7"/>
        <v>0</v>
      </c>
      <c r="S70" s="36">
        <f>O70/'Graphs&amp;Analysis'!$D$24</f>
        <v>0</v>
      </c>
      <c r="T70" s="153"/>
      <c r="U70" s="153"/>
      <c r="W70" s="13" t="str">
        <f t="shared" si="8"/>
        <v/>
      </c>
    </row>
    <row r="71" spans="1:23" ht="25.5">
      <c r="A71" s="13" t="str">
        <f>IF(T71="YES",MAX($A$12:A70)+1,"")</f>
        <v/>
      </c>
      <c r="B71" s="20"/>
      <c r="C71" s="5" t="str">
        <f t="shared" si="9"/>
        <v>Buildings Category 2</v>
      </c>
      <c r="D71" s="5" t="s">
        <v>47</v>
      </c>
      <c r="E71" s="5" t="s">
        <v>51</v>
      </c>
      <c r="F71" s="152"/>
      <c r="G71" s="234"/>
      <c r="H71" s="233">
        <v>0.17647058823529407</v>
      </c>
      <c r="I71" s="231"/>
      <c r="J71" s="232">
        <v>0.1</v>
      </c>
      <c r="K71" s="235">
        <v>294</v>
      </c>
      <c r="L71" s="77"/>
      <c r="M71" s="37">
        <f>F71*G71*H71*I71*Baseline!$F$24</f>
        <v>0</v>
      </c>
      <c r="N71" s="37">
        <f>F71*G71*H71*J71*Baseline!$G$24</f>
        <v>0</v>
      </c>
      <c r="O71" s="60">
        <f>(M71*References!$C$27+N71*References!$C$26)/1000</f>
        <v>0</v>
      </c>
      <c r="P71" s="38">
        <f t="shared" si="6"/>
        <v>0</v>
      </c>
      <c r="Q71" s="38">
        <f>(M71*References!$C$57+Opportunities!N71*References!$C$56)/100</f>
        <v>0</v>
      </c>
      <c r="R71" s="35">
        <f t="shared" si="7"/>
        <v>0</v>
      </c>
      <c r="S71" s="36">
        <f>O71/'Graphs&amp;Analysis'!$D$24</f>
        <v>0</v>
      </c>
      <c r="T71" s="153"/>
      <c r="U71" s="153"/>
      <c r="W71" s="13" t="str">
        <f t="shared" si="8"/>
        <v/>
      </c>
    </row>
    <row r="72" spans="1:23">
      <c r="A72" s="13" t="str">
        <f>IF(T72="YES",MAX($A$12:A71)+1,"")</f>
        <v/>
      </c>
      <c r="B72" s="20"/>
      <c r="C72" s="5" t="str">
        <f t="shared" si="9"/>
        <v>Buildings Category 2</v>
      </c>
      <c r="D72" s="5" t="s">
        <v>47</v>
      </c>
      <c r="E72" s="5" t="s">
        <v>50</v>
      </c>
      <c r="F72" s="152"/>
      <c r="G72" s="234"/>
      <c r="H72" s="233">
        <v>0.17647058823529407</v>
      </c>
      <c r="I72" s="231"/>
      <c r="J72" s="232">
        <v>0.1</v>
      </c>
      <c r="K72" s="235">
        <v>4202</v>
      </c>
      <c r="L72" s="77"/>
      <c r="M72" s="37">
        <f>F72*G72*H72*I72*Baseline!$F$24</f>
        <v>0</v>
      </c>
      <c r="N72" s="37">
        <f>F72*G72*H72*J72*Baseline!$G$24</f>
        <v>0</v>
      </c>
      <c r="O72" s="60">
        <f>(M72*References!$C$27+N72*References!$C$26)/1000</f>
        <v>0</v>
      </c>
      <c r="P72" s="38">
        <f t="shared" si="6"/>
        <v>0</v>
      </c>
      <c r="Q72" s="38">
        <f>(M72*References!$C$57+Opportunities!N72*References!$C$56)/100</f>
        <v>0</v>
      </c>
      <c r="R72" s="35">
        <f t="shared" si="7"/>
        <v>0</v>
      </c>
      <c r="S72" s="36">
        <f>O72/'Graphs&amp;Analysis'!$D$24</f>
        <v>0</v>
      </c>
      <c r="T72" s="153"/>
      <c r="U72" s="153"/>
      <c r="W72" s="13" t="str">
        <f t="shared" si="8"/>
        <v/>
      </c>
    </row>
    <row r="73" spans="1:23">
      <c r="A73" s="13" t="str">
        <f>IF(T73="YES",MAX($A$12:A72)+1,"")</f>
        <v/>
      </c>
      <c r="B73" s="20"/>
      <c r="C73" s="5" t="str">
        <f t="shared" si="9"/>
        <v>Buildings Category 2</v>
      </c>
      <c r="D73" s="5" t="s">
        <v>47</v>
      </c>
      <c r="E73" s="5" t="s">
        <v>49</v>
      </c>
      <c r="F73" s="152"/>
      <c r="G73" s="234"/>
      <c r="H73" s="233">
        <v>0.17647058823529407</v>
      </c>
      <c r="I73" s="231"/>
      <c r="J73" s="232">
        <v>0.1</v>
      </c>
      <c r="K73" s="235">
        <v>1200</v>
      </c>
      <c r="L73" s="77"/>
      <c r="M73" s="37">
        <f>F73*G73*H73*I73*Baseline!$F$24</f>
        <v>0</v>
      </c>
      <c r="N73" s="37">
        <f>F73*G73*H73*J73*Baseline!$G$24</f>
        <v>0</v>
      </c>
      <c r="O73" s="60">
        <f>(M73*References!$C$27+N73*References!$C$26)/1000</f>
        <v>0</v>
      </c>
      <c r="P73" s="38">
        <f t="shared" si="6"/>
        <v>0</v>
      </c>
      <c r="Q73" s="38">
        <f>(M73*References!$C$57+Opportunities!N73*References!$C$56)/100</f>
        <v>0</v>
      </c>
      <c r="R73" s="35">
        <f t="shared" si="7"/>
        <v>0</v>
      </c>
      <c r="S73" s="36">
        <f>O73/'Graphs&amp;Analysis'!$D$24</f>
        <v>0</v>
      </c>
      <c r="T73" s="153"/>
      <c r="U73" s="153"/>
      <c r="W73" s="13" t="str">
        <f t="shared" si="8"/>
        <v/>
      </c>
    </row>
    <row r="74" spans="1:23" ht="25.5">
      <c r="A74" s="13" t="str">
        <f>IF(T74="YES",MAX($A$12:A73)+1,"")</f>
        <v/>
      </c>
      <c r="B74" s="20"/>
      <c r="C74" s="5" t="str">
        <f t="shared" si="9"/>
        <v>Buildings Category 2</v>
      </c>
      <c r="D74" s="5" t="s">
        <v>47</v>
      </c>
      <c r="E74" s="5" t="s">
        <v>48</v>
      </c>
      <c r="F74" s="152"/>
      <c r="G74" s="234"/>
      <c r="H74" s="233">
        <v>2.9411764705882346E-2</v>
      </c>
      <c r="I74" s="231"/>
      <c r="J74" s="232">
        <v>0.5</v>
      </c>
      <c r="K74" s="235">
        <v>606</v>
      </c>
      <c r="L74" s="77"/>
      <c r="M74" s="37">
        <f>F74*G74*H74*I74*Baseline!$F$24</f>
        <v>0</v>
      </c>
      <c r="N74" s="37">
        <f>F74*G74*H74*J74*Baseline!$G$24</f>
        <v>0</v>
      </c>
      <c r="O74" s="60">
        <f>(M74*References!$C$27+N74*References!$C$26)/1000</f>
        <v>0</v>
      </c>
      <c r="P74" s="38">
        <f t="shared" si="6"/>
        <v>0</v>
      </c>
      <c r="Q74" s="38">
        <f>(M74*References!$C$57+Opportunities!N74*References!$C$56)/100</f>
        <v>0</v>
      </c>
      <c r="R74" s="35">
        <f t="shared" si="7"/>
        <v>0</v>
      </c>
      <c r="S74" s="36">
        <f>O74/'Graphs&amp;Analysis'!$D$24</f>
        <v>0</v>
      </c>
      <c r="T74" s="153"/>
      <c r="U74" s="153"/>
      <c r="W74" s="13" t="str">
        <f t="shared" si="8"/>
        <v/>
      </c>
    </row>
    <row r="75" spans="1:23" ht="25.5">
      <c r="A75" s="13">
        <f>IF(T75="YES",MAX($A$12:A74)+1,"")</f>
        <v>21</v>
      </c>
      <c r="B75" s="20"/>
      <c r="C75" s="5" t="str">
        <f t="shared" si="9"/>
        <v>Buildings Category 2</v>
      </c>
      <c r="D75" s="5" t="s">
        <v>36</v>
      </c>
      <c r="E75" s="5" t="s">
        <v>37</v>
      </c>
      <c r="F75" s="152">
        <v>0.5</v>
      </c>
      <c r="G75" s="234">
        <v>0.3</v>
      </c>
      <c r="H75" s="233">
        <v>0.5</v>
      </c>
      <c r="I75" s="232"/>
      <c r="J75" s="232">
        <v>0.35</v>
      </c>
      <c r="K75" s="235">
        <v>1200</v>
      </c>
      <c r="L75" s="77"/>
      <c r="M75" s="37">
        <f>F75*G75*H75*I75*Baseline!$F$24</f>
        <v>0</v>
      </c>
      <c r="N75" s="37">
        <f>F75*G75*H75*J75*Baseline!$G$24</f>
        <v>199500</v>
      </c>
      <c r="O75" s="60">
        <f>(M75*References!$C$27+N75*References!$C$26)/1000</f>
        <v>107.13549</v>
      </c>
      <c r="P75" s="38">
        <f t="shared" si="6"/>
        <v>128562.588</v>
      </c>
      <c r="Q75" s="38">
        <f>(M75*References!$C$57+Opportunities!N75*References!$C$56)/100</f>
        <v>15960</v>
      </c>
      <c r="R75" s="35">
        <f t="shared" si="7"/>
        <v>8.0553000000000008</v>
      </c>
      <c r="S75" s="36">
        <f>O75/'Graphs&amp;Analysis'!$D$24</f>
        <v>6.8898810067715378E-3</v>
      </c>
      <c r="T75" s="153" t="s">
        <v>124</v>
      </c>
      <c r="U75" s="153"/>
      <c r="W75" s="13" t="str">
        <f t="shared" si="8"/>
        <v>Buildings</v>
      </c>
    </row>
    <row r="76" spans="1:23">
      <c r="A76" s="13" t="str">
        <f>IF(T76="YES",MAX($A$12:A75)+1,"")</f>
        <v/>
      </c>
      <c r="B76" s="20"/>
      <c r="C76" s="5" t="str">
        <f t="shared" si="9"/>
        <v>Buildings Category 2</v>
      </c>
      <c r="D76" s="5" t="s">
        <v>36</v>
      </c>
      <c r="E76" s="5" t="s">
        <v>38</v>
      </c>
      <c r="F76" s="152"/>
      <c r="G76" s="234"/>
      <c r="H76" s="233">
        <v>0.5</v>
      </c>
      <c r="I76" s="232"/>
      <c r="J76" s="232">
        <v>0.5</v>
      </c>
      <c r="K76" s="235">
        <v>500</v>
      </c>
      <c r="L76" s="77"/>
      <c r="M76" s="37">
        <f>F76*G76*H76*I76*Baseline!$F$24</f>
        <v>0</v>
      </c>
      <c r="N76" s="37">
        <f>F76*G76*H76*J76*Baseline!$G$24</f>
        <v>0</v>
      </c>
      <c r="O76" s="60">
        <f>(M76*References!$C$27+N76*References!$C$26)/1000</f>
        <v>0</v>
      </c>
      <c r="P76" s="38">
        <f t="shared" si="6"/>
        <v>0</v>
      </c>
      <c r="Q76" s="38">
        <f>(M76*References!$C$57+Opportunities!N76*References!$C$56)/100</f>
        <v>0</v>
      </c>
      <c r="R76" s="35">
        <f t="shared" si="7"/>
        <v>0</v>
      </c>
      <c r="S76" s="36">
        <f>O76/'Graphs&amp;Analysis'!$D$24</f>
        <v>0</v>
      </c>
      <c r="T76" s="153"/>
      <c r="U76" s="153"/>
      <c r="W76" s="13" t="str">
        <f t="shared" si="8"/>
        <v/>
      </c>
    </row>
    <row r="77" spans="1:23" ht="25.5">
      <c r="A77" s="13" t="str">
        <f>IF(T77="YES",MAX($A$12:A76)+1,"")</f>
        <v/>
      </c>
      <c r="B77" s="20"/>
      <c r="C77" s="5" t="str">
        <f t="shared" si="9"/>
        <v>Buildings Category 2</v>
      </c>
      <c r="D77" s="5" t="s">
        <v>39</v>
      </c>
      <c r="E77" s="5" t="s">
        <v>40</v>
      </c>
      <c r="F77" s="152"/>
      <c r="G77" s="234"/>
      <c r="H77" s="233">
        <v>0.5</v>
      </c>
      <c r="I77" s="232"/>
      <c r="J77" s="232">
        <v>0.08</v>
      </c>
      <c r="K77" s="235">
        <v>633</v>
      </c>
      <c r="L77" s="77"/>
      <c r="M77" s="37">
        <f>F77*G77*H77*I77*Baseline!$F$24</f>
        <v>0</v>
      </c>
      <c r="N77" s="37">
        <f>F77*G77*H77*J77*Baseline!$G$24</f>
        <v>0</v>
      </c>
      <c r="O77" s="60">
        <f>(M77*References!$C$27+N77*References!$C$26)/1000</f>
        <v>0</v>
      </c>
      <c r="P77" s="38">
        <f t="shared" si="6"/>
        <v>0</v>
      </c>
      <c r="Q77" s="38">
        <f>(M77*References!$C$57+Opportunities!N77*References!$C$56)/100</f>
        <v>0</v>
      </c>
      <c r="R77" s="35">
        <f t="shared" si="7"/>
        <v>0</v>
      </c>
      <c r="S77" s="36">
        <f>O77/'Graphs&amp;Analysis'!$D$24</f>
        <v>0</v>
      </c>
      <c r="T77" s="153"/>
      <c r="U77" s="153"/>
      <c r="W77" s="13" t="str">
        <f t="shared" si="8"/>
        <v/>
      </c>
    </row>
    <row r="78" spans="1:23" ht="25.5">
      <c r="A78" s="13" t="str">
        <f>IF(T78="YES",MAX($A$12:A77)+1,"")</f>
        <v/>
      </c>
      <c r="B78" s="20"/>
      <c r="C78" s="5" t="str">
        <f t="shared" si="9"/>
        <v>Buildings Category 2</v>
      </c>
      <c r="D78" s="5" t="s">
        <v>43</v>
      </c>
      <c r="E78" s="5" t="s">
        <v>46</v>
      </c>
      <c r="F78" s="152"/>
      <c r="G78" s="234"/>
      <c r="H78" s="233">
        <v>1</v>
      </c>
      <c r="I78" s="232">
        <v>7.0000000000000007E-2</v>
      </c>
      <c r="J78" s="232">
        <v>7.0000000000000007E-2</v>
      </c>
      <c r="K78" s="235">
        <v>500</v>
      </c>
      <c r="L78" s="77"/>
      <c r="M78" s="37">
        <f>F78*G78*H78*I78*Baseline!$F$24</f>
        <v>0</v>
      </c>
      <c r="N78" s="37">
        <f>F78*G78*H78*J78*Baseline!$G$24</f>
        <v>0</v>
      </c>
      <c r="O78" s="60">
        <f>(M78*References!$C$27+N78*References!$C$26)/1000</f>
        <v>0</v>
      </c>
      <c r="P78" s="38">
        <f t="shared" si="6"/>
        <v>0</v>
      </c>
      <c r="Q78" s="38">
        <f>(M78*References!$C$57+Opportunities!N78*References!$C$56)/100</f>
        <v>0</v>
      </c>
      <c r="R78" s="35">
        <f t="shared" si="7"/>
        <v>0</v>
      </c>
      <c r="S78" s="36">
        <f>O78/'Graphs&amp;Analysis'!$D$24</f>
        <v>0</v>
      </c>
      <c r="T78" s="153"/>
      <c r="U78" s="153"/>
      <c r="W78" s="13" t="str">
        <f t="shared" si="8"/>
        <v/>
      </c>
    </row>
    <row r="79" spans="1:23" ht="25.5">
      <c r="A79" s="13" t="str">
        <f>IF(T79="YES",MAX($A$12:A78)+1,"")</f>
        <v/>
      </c>
      <c r="B79" s="20"/>
      <c r="C79" s="5" t="str">
        <f t="shared" si="9"/>
        <v>Buildings Category 2</v>
      </c>
      <c r="D79" s="5" t="s">
        <v>43</v>
      </c>
      <c r="E79" s="5" t="s">
        <v>44</v>
      </c>
      <c r="F79" s="152"/>
      <c r="G79" s="234"/>
      <c r="H79" s="233">
        <v>5.8823529411764691E-2</v>
      </c>
      <c r="I79" s="231"/>
      <c r="J79" s="232">
        <v>0.4</v>
      </c>
      <c r="K79" s="235">
        <v>307</v>
      </c>
      <c r="L79" s="77"/>
      <c r="M79" s="37">
        <f>F79*G79*H79*I79*Baseline!$F$24</f>
        <v>0</v>
      </c>
      <c r="N79" s="37">
        <f>F79*G79*H79*J79*Baseline!$G$24</f>
        <v>0</v>
      </c>
      <c r="O79" s="60">
        <f>(M79*References!$C$27+N79*References!$C$26)/1000</f>
        <v>0</v>
      </c>
      <c r="P79" s="38">
        <f t="shared" ref="P79:P88" si="10">O79*K79</f>
        <v>0</v>
      </c>
      <c r="Q79" s="38">
        <f>(M79*References!$C$57+Opportunities!N79*References!$C$56)/100</f>
        <v>0</v>
      </c>
      <c r="R79" s="35">
        <f t="shared" ref="R79:R88" si="11">IF(ISERROR(P79/Q79),0,P79/Q79)</f>
        <v>0</v>
      </c>
      <c r="S79" s="36">
        <f>O79/'Graphs&amp;Analysis'!$D$24</f>
        <v>0</v>
      </c>
      <c r="T79" s="153"/>
      <c r="U79" s="153"/>
      <c r="W79" s="13" t="str">
        <f t="shared" si="8"/>
        <v/>
      </c>
    </row>
    <row r="80" spans="1:23">
      <c r="A80" s="13" t="str">
        <f>IF(T80="YES",MAX($A$12:A79)+1,"")</f>
        <v/>
      </c>
      <c r="B80" s="20"/>
      <c r="C80" s="5" t="str">
        <f t="shared" si="9"/>
        <v>Buildings Category 2</v>
      </c>
      <c r="D80" s="5" t="s">
        <v>43</v>
      </c>
      <c r="E80" s="5" t="s">
        <v>55</v>
      </c>
      <c r="F80" s="152"/>
      <c r="G80" s="234"/>
      <c r="H80" s="232">
        <v>0.5</v>
      </c>
      <c r="I80" s="232">
        <v>0.05</v>
      </c>
      <c r="J80" s="232"/>
      <c r="K80" s="235">
        <v>500</v>
      </c>
      <c r="L80" s="77"/>
      <c r="M80" s="37">
        <f>F80*G80*H80*I80*Baseline!$F$24</f>
        <v>0</v>
      </c>
      <c r="N80" s="37">
        <f>F80*G80*H80*J80*Baseline!$G$24</f>
        <v>0</v>
      </c>
      <c r="O80" s="60">
        <f>(M80*References!$C$27+N80*References!$C$26)/1000</f>
        <v>0</v>
      </c>
      <c r="P80" s="38">
        <f t="shared" si="10"/>
        <v>0</v>
      </c>
      <c r="Q80" s="38">
        <f>(M80*References!$C$57+Opportunities!N80*References!$C$56)/100</f>
        <v>0</v>
      </c>
      <c r="R80" s="35">
        <f t="shared" si="11"/>
        <v>0</v>
      </c>
      <c r="S80" s="36">
        <f>O80/'Graphs&amp;Analysis'!$D$24</f>
        <v>0</v>
      </c>
      <c r="T80" s="153"/>
      <c r="U80" s="153"/>
      <c r="W80" s="13" t="str">
        <f t="shared" si="8"/>
        <v/>
      </c>
    </row>
    <row r="81" spans="1:23" ht="25.5">
      <c r="A81" s="13" t="str">
        <f>IF(T81="YES",MAX($A$12:A80)+1,"")</f>
        <v/>
      </c>
      <c r="B81" s="20"/>
      <c r="C81" s="5" t="str">
        <f t="shared" si="9"/>
        <v>Buildings Category 2</v>
      </c>
      <c r="D81" s="5" t="s">
        <v>43</v>
      </c>
      <c r="E81" s="5" t="s">
        <v>56</v>
      </c>
      <c r="F81" s="152"/>
      <c r="G81" s="234"/>
      <c r="H81" s="232">
        <v>1</v>
      </c>
      <c r="I81" s="232">
        <v>0.1</v>
      </c>
      <c r="J81" s="232">
        <v>0.15</v>
      </c>
      <c r="K81" s="235">
        <v>500</v>
      </c>
      <c r="L81" s="77"/>
      <c r="M81" s="37">
        <f>F81*G81*H81*I81*Baseline!$F$24</f>
        <v>0</v>
      </c>
      <c r="N81" s="37">
        <f>F81*G81*H81*J81*Baseline!$G$24</f>
        <v>0</v>
      </c>
      <c r="O81" s="60">
        <f>(M81*References!$C$27+N81*References!$C$26)/1000</f>
        <v>0</v>
      </c>
      <c r="P81" s="38">
        <f t="shared" si="10"/>
        <v>0</v>
      </c>
      <c r="Q81" s="38">
        <f>(M81*References!$C$57+Opportunities!N81*References!$C$56)/100</f>
        <v>0</v>
      </c>
      <c r="R81" s="35">
        <f t="shared" si="11"/>
        <v>0</v>
      </c>
      <c r="S81" s="36">
        <f>O81/'Graphs&amp;Analysis'!$D$24</f>
        <v>0</v>
      </c>
      <c r="T81" s="153"/>
      <c r="U81" s="153"/>
      <c r="W81" s="13" t="str">
        <f t="shared" si="8"/>
        <v/>
      </c>
    </row>
    <row r="82" spans="1:23">
      <c r="A82" s="13" t="str">
        <f>IF(T82="YES",MAX($A$12:A81)+1,"")</f>
        <v/>
      </c>
      <c r="B82" s="20"/>
      <c r="C82" s="5" t="str">
        <f t="shared" si="9"/>
        <v>Buildings Category 2</v>
      </c>
      <c r="D82" s="5" t="s">
        <v>43</v>
      </c>
      <c r="E82" s="5" t="s">
        <v>53</v>
      </c>
      <c r="F82" s="152"/>
      <c r="G82" s="234"/>
      <c r="H82" s="232">
        <v>1</v>
      </c>
      <c r="I82" s="232"/>
      <c r="J82" s="232">
        <v>0.4</v>
      </c>
      <c r="K82" s="235">
        <v>500</v>
      </c>
      <c r="L82" s="77"/>
      <c r="M82" s="37">
        <f>F82*G82*H82*I82*Baseline!$F$24</f>
        <v>0</v>
      </c>
      <c r="N82" s="37">
        <f>F82*G82*H82*J82*Baseline!$G$24</f>
        <v>0</v>
      </c>
      <c r="O82" s="60">
        <f>(M82*References!$C$27+N82*References!$C$26)/1000</f>
        <v>0</v>
      </c>
      <c r="P82" s="38">
        <f t="shared" si="10"/>
        <v>0</v>
      </c>
      <c r="Q82" s="38">
        <f>(M82*References!$C$57+Opportunities!N82*References!$C$56)/100</f>
        <v>0</v>
      </c>
      <c r="R82" s="35">
        <f t="shared" si="11"/>
        <v>0</v>
      </c>
      <c r="S82" s="36">
        <f>O82/'Graphs&amp;Analysis'!$D$24</f>
        <v>0</v>
      </c>
      <c r="T82" s="153"/>
      <c r="U82" s="153"/>
      <c r="W82" s="13" t="str">
        <f t="shared" si="8"/>
        <v/>
      </c>
    </row>
    <row r="83" spans="1:23" ht="25.5">
      <c r="A83" s="13" t="str">
        <f>IF(T83="YES",MAX($A$12:A82)+1,"")</f>
        <v/>
      </c>
      <c r="B83" s="20"/>
      <c r="C83" s="5" t="str">
        <f t="shared" si="9"/>
        <v>Buildings Category 2</v>
      </c>
      <c r="D83" s="5" t="s">
        <v>43</v>
      </c>
      <c r="E83" s="5" t="s">
        <v>54</v>
      </c>
      <c r="F83" s="152"/>
      <c r="G83" s="234"/>
      <c r="H83" s="232">
        <v>0.5</v>
      </c>
      <c r="I83" s="232">
        <v>0.2</v>
      </c>
      <c r="J83" s="232"/>
      <c r="K83" s="235">
        <v>500</v>
      </c>
      <c r="L83" s="77"/>
      <c r="M83" s="37">
        <f>F83*G83*H83*I83*Baseline!$F$24</f>
        <v>0</v>
      </c>
      <c r="N83" s="37">
        <f>F83*G83*H83*J83*Baseline!$G$24</f>
        <v>0</v>
      </c>
      <c r="O83" s="60">
        <f>(M83*References!$C$27+N83*References!$C$26)/1000</f>
        <v>0</v>
      </c>
      <c r="P83" s="38">
        <f t="shared" si="10"/>
        <v>0</v>
      </c>
      <c r="Q83" s="38">
        <f>(M83*References!$C$57+Opportunities!N83*References!$C$56)/100</f>
        <v>0</v>
      </c>
      <c r="R83" s="35">
        <f t="shared" si="11"/>
        <v>0</v>
      </c>
      <c r="S83" s="36">
        <f>O83/'Graphs&amp;Analysis'!$D$24</f>
        <v>0</v>
      </c>
      <c r="T83" s="153"/>
      <c r="U83" s="153"/>
      <c r="W83" s="13" t="str">
        <f t="shared" si="8"/>
        <v/>
      </c>
    </row>
    <row r="84" spans="1:23">
      <c r="A84" s="13" t="str">
        <f>IF(T84="YES",MAX($A$12:A83)+1,"")</f>
        <v/>
      </c>
      <c r="B84" s="20"/>
      <c r="C84" s="5" t="str">
        <f t="shared" si="9"/>
        <v>Buildings Category 2</v>
      </c>
      <c r="D84" s="5" t="s">
        <v>43</v>
      </c>
      <c r="E84" s="5" t="s">
        <v>45</v>
      </c>
      <c r="F84" s="152"/>
      <c r="G84" s="234"/>
      <c r="H84" s="232">
        <v>1</v>
      </c>
      <c r="I84" s="232"/>
      <c r="J84" s="232">
        <v>0.1</v>
      </c>
      <c r="K84" s="235">
        <v>503</v>
      </c>
      <c r="L84" s="77"/>
      <c r="M84" s="37">
        <f>F84*G84*H84*I84*Baseline!$F$24</f>
        <v>0</v>
      </c>
      <c r="N84" s="37">
        <f>F84*G84*H84*J84*Baseline!$G$24</f>
        <v>0</v>
      </c>
      <c r="O84" s="60">
        <f>(M84*References!$C$27+N84*References!$C$26)/1000</f>
        <v>0</v>
      </c>
      <c r="P84" s="38">
        <f t="shared" si="10"/>
        <v>0</v>
      </c>
      <c r="Q84" s="38">
        <f>(M84*References!$C$57+Opportunities!N84*References!$C$56)/100</f>
        <v>0</v>
      </c>
      <c r="R84" s="35">
        <f t="shared" si="11"/>
        <v>0</v>
      </c>
      <c r="S84" s="36">
        <f>O84/'Graphs&amp;Analysis'!$D$24</f>
        <v>0</v>
      </c>
      <c r="T84" s="153"/>
      <c r="U84" s="153"/>
      <c r="W84" s="13" t="str">
        <f t="shared" si="8"/>
        <v/>
      </c>
    </row>
    <row r="85" spans="1:23" ht="25.5">
      <c r="A85" s="13" t="str">
        <f>IF(T85="YES",MAX($A$12:A84)+1,"")</f>
        <v/>
      </c>
      <c r="B85" s="20"/>
      <c r="C85" s="5" t="str">
        <f t="shared" si="9"/>
        <v>Buildings Category 2</v>
      </c>
      <c r="D85" s="5" t="s">
        <v>41</v>
      </c>
      <c r="E85" s="5" t="s">
        <v>42</v>
      </c>
      <c r="F85" s="152"/>
      <c r="G85" s="234"/>
      <c r="H85" s="232">
        <v>0.15</v>
      </c>
      <c r="I85" s="232"/>
      <c r="J85" s="232">
        <v>0.35</v>
      </c>
      <c r="K85" s="235">
        <v>458</v>
      </c>
      <c r="L85" s="77"/>
      <c r="M85" s="37">
        <f>F85*G85*H85*I85*Baseline!$F$24</f>
        <v>0</v>
      </c>
      <c r="N85" s="37">
        <f>F85*G85*H85*J85*Baseline!$G$24</f>
        <v>0</v>
      </c>
      <c r="O85" s="60">
        <f>(M85*References!$C$27+N85*References!$C$26)/1000</f>
        <v>0</v>
      </c>
      <c r="P85" s="38">
        <f t="shared" si="10"/>
        <v>0</v>
      </c>
      <c r="Q85" s="38">
        <f>(M85*References!$C$57+Opportunities!N85*References!$C$56)/100</f>
        <v>0</v>
      </c>
      <c r="R85" s="35">
        <f t="shared" si="11"/>
        <v>0</v>
      </c>
      <c r="S85" s="36">
        <f>O85/'Graphs&amp;Analysis'!$D$24</f>
        <v>0</v>
      </c>
      <c r="T85" s="153"/>
      <c r="U85" s="153"/>
      <c r="W85" s="13" t="str">
        <f t="shared" si="8"/>
        <v/>
      </c>
    </row>
    <row r="86" spans="1:23" ht="38.25">
      <c r="A86" s="13" t="str">
        <f>IF(T86="YES",MAX($A$12:A85)+1,"")</f>
        <v/>
      </c>
      <c r="B86" s="20"/>
      <c r="C86" s="5" t="str">
        <f t="shared" si="9"/>
        <v>Buildings Category 2</v>
      </c>
      <c r="D86" s="5" t="s">
        <v>220</v>
      </c>
      <c r="E86" s="222" t="s">
        <v>221</v>
      </c>
      <c r="F86" s="152"/>
      <c r="G86" s="234"/>
      <c r="H86" s="233">
        <v>1</v>
      </c>
      <c r="I86" s="233">
        <v>0.01</v>
      </c>
      <c r="J86" s="231"/>
      <c r="K86" s="235">
        <v>121</v>
      </c>
      <c r="L86" s="77"/>
      <c r="M86" s="37">
        <f>F86*G86*H86*I86*Baseline!$F$24</f>
        <v>0</v>
      </c>
      <c r="N86" s="37">
        <f>F86*G86*H86*J86*Baseline!$G$24</f>
        <v>0</v>
      </c>
      <c r="O86" s="60">
        <f>(M86*References!$C$27+N86*References!$C$26)/1000</f>
        <v>0</v>
      </c>
      <c r="P86" s="38">
        <f t="shared" si="10"/>
        <v>0</v>
      </c>
      <c r="Q86" s="38">
        <f>(M86*References!$C$57+Opportunities!N86*References!$C$56)/100</f>
        <v>0</v>
      </c>
      <c r="R86" s="35">
        <f t="shared" si="11"/>
        <v>0</v>
      </c>
      <c r="S86" s="36">
        <f>O86/'Graphs&amp;Analysis'!$D$24</f>
        <v>0</v>
      </c>
      <c r="T86" s="153"/>
      <c r="U86" s="153"/>
      <c r="W86" s="13" t="str">
        <f t="shared" si="8"/>
        <v/>
      </c>
    </row>
    <row r="87" spans="1:23" ht="30">
      <c r="A87" s="13" t="str">
        <f>IF(T87="YES",MAX($A$12:A86)+1,"")</f>
        <v/>
      </c>
      <c r="B87" s="20"/>
      <c r="C87" s="5" t="str">
        <f t="shared" si="9"/>
        <v>Buildings Category 2</v>
      </c>
      <c r="D87" s="5" t="s">
        <v>220</v>
      </c>
      <c r="E87" s="223" t="s">
        <v>222</v>
      </c>
      <c r="F87" s="152"/>
      <c r="G87" s="234"/>
      <c r="H87" s="233">
        <v>1</v>
      </c>
      <c r="I87" s="233">
        <v>7.0000000000000007E-2</v>
      </c>
      <c r="J87" s="231"/>
      <c r="K87" s="235">
        <v>500</v>
      </c>
      <c r="L87" s="77"/>
      <c r="M87" s="37">
        <f>F87*G87*H87*I87*Baseline!$F$24</f>
        <v>0</v>
      </c>
      <c r="N87" s="37">
        <f>F87*G87*H87*J87*Baseline!$G$24</f>
        <v>0</v>
      </c>
      <c r="O87" s="60">
        <f>(M87*References!$C$27+N87*References!$C$26)/1000</f>
        <v>0</v>
      </c>
      <c r="P87" s="38">
        <f t="shared" si="10"/>
        <v>0</v>
      </c>
      <c r="Q87" s="38">
        <f>(M87*References!$C$57+Opportunities!N87*References!$C$56)/100</f>
        <v>0</v>
      </c>
      <c r="R87" s="35">
        <f t="shared" si="11"/>
        <v>0</v>
      </c>
      <c r="S87" s="36">
        <f>O87/'Graphs&amp;Analysis'!$D$24</f>
        <v>0</v>
      </c>
      <c r="T87" s="153"/>
      <c r="U87" s="153"/>
      <c r="W87" s="13" t="str">
        <f t="shared" si="8"/>
        <v/>
      </c>
    </row>
    <row r="88" spans="1:23" ht="25.5">
      <c r="A88" s="13" t="str">
        <f>IF(T88="YES",MAX($A$12:A87)+1,"")</f>
        <v/>
      </c>
      <c r="B88" s="20"/>
      <c r="C88" s="5" t="str">
        <f t="shared" si="9"/>
        <v>Buildings Category 2</v>
      </c>
      <c r="D88" s="5" t="s">
        <v>220</v>
      </c>
      <c r="E88" s="224" t="s">
        <v>223</v>
      </c>
      <c r="F88" s="152"/>
      <c r="G88" s="234"/>
      <c r="H88" s="233">
        <v>1</v>
      </c>
      <c r="I88" s="233">
        <v>0.02</v>
      </c>
      <c r="J88" s="231"/>
      <c r="K88" s="235">
        <v>153</v>
      </c>
      <c r="L88" s="77"/>
      <c r="M88" s="37">
        <f>F88*G88*H88*I88*Baseline!$F$24</f>
        <v>0</v>
      </c>
      <c r="N88" s="37">
        <f>F88*G88*H88*J88*Baseline!$G$24</f>
        <v>0</v>
      </c>
      <c r="O88" s="60">
        <f>(M88*References!$C$27+N88*References!$C$26)/1000</f>
        <v>0</v>
      </c>
      <c r="P88" s="38">
        <f t="shared" si="10"/>
        <v>0</v>
      </c>
      <c r="Q88" s="38">
        <f>(M88*References!$C$57+Opportunities!N88*References!$C$56)/100</f>
        <v>0</v>
      </c>
      <c r="R88" s="35">
        <f t="shared" si="11"/>
        <v>0</v>
      </c>
      <c r="S88" s="36">
        <f>O88/'Graphs&amp;Analysis'!$D$24</f>
        <v>0</v>
      </c>
      <c r="T88" s="153"/>
      <c r="U88" s="153"/>
      <c r="W88" s="13" t="str">
        <f t="shared" si="8"/>
        <v/>
      </c>
    </row>
    <row r="89" spans="1:23">
      <c r="A89" s="13" t="str">
        <f>IF(T89="YES",MAX($A$12:A88)+1,"")</f>
        <v/>
      </c>
      <c r="B89" s="20"/>
      <c r="C89" s="5" t="str">
        <f>C78</f>
        <v>Buildings Category 2</v>
      </c>
      <c r="D89" s="5" t="s">
        <v>52</v>
      </c>
      <c r="E89" s="5"/>
      <c r="F89" s="152"/>
      <c r="G89" s="234"/>
      <c r="H89" s="8"/>
      <c r="I89" s="8"/>
      <c r="J89" s="8"/>
      <c r="K89" s="29">
        <v>500</v>
      </c>
      <c r="L89" s="77"/>
      <c r="M89" s="37">
        <f>F89*G89*H89*I89*Baseline!$F$24</f>
        <v>0</v>
      </c>
      <c r="N89" s="37">
        <f>F89*G89*H89*J89*Baseline!$G$24</f>
        <v>0</v>
      </c>
      <c r="O89" s="60">
        <f>(M89*References!$C$27+N89*References!$C$26)/1000</f>
        <v>0</v>
      </c>
      <c r="P89" s="38">
        <f t="shared" si="6"/>
        <v>0</v>
      </c>
      <c r="Q89" s="38">
        <f>(M89*References!$C$57+Opportunities!N89*References!$C$56)/100</f>
        <v>0</v>
      </c>
      <c r="R89" s="35">
        <f t="shared" si="7"/>
        <v>0</v>
      </c>
      <c r="S89" s="36">
        <f>O89/'Graphs&amp;Analysis'!$D$24</f>
        <v>0</v>
      </c>
      <c r="T89" s="153"/>
      <c r="U89" s="153"/>
      <c r="W89" s="13" t="str">
        <f t="shared" si="8"/>
        <v/>
      </c>
    </row>
    <row r="90" spans="1:23">
      <c r="A90" s="13" t="str">
        <f>IF(T90="YES",MAX($A$12:A89)+1,"")</f>
        <v/>
      </c>
      <c r="B90" s="20"/>
      <c r="C90" s="5" t="str">
        <f t="shared" si="9"/>
        <v>Buildings Category 2</v>
      </c>
      <c r="D90" s="5" t="s">
        <v>52</v>
      </c>
      <c r="E90" s="5"/>
      <c r="F90" s="152"/>
      <c r="G90" s="234"/>
      <c r="H90" s="8"/>
      <c r="I90" s="8"/>
      <c r="J90" s="8"/>
      <c r="K90" s="29">
        <v>500</v>
      </c>
      <c r="L90" s="77"/>
      <c r="M90" s="37">
        <f>F90*G90*H90*I90*Baseline!$F$24</f>
        <v>0</v>
      </c>
      <c r="N90" s="37">
        <f>F90*G90*H90*J90*Baseline!$G$24</f>
        <v>0</v>
      </c>
      <c r="O90" s="60">
        <f>(M90*References!$C$27+N90*References!$C$26)/1000</f>
        <v>0</v>
      </c>
      <c r="P90" s="38">
        <f t="shared" si="6"/>
        <v>0</v>
      </c>
      <c r="Q90" s="38">
        <f>(M90*References!$C$57+Opportunities!N90*References!$C$56)/100</f>
        <v>0</v>
      </c>
      <c r="R90" s="35">
        <f t="shared" si="7"/>
        <v>0</v>
      </c>
      <c r="S90" s="36">
        <f>O90/'Graphs&amp;Analysis'!$D$24</f>
        <v>0</v>
      </c>
      <c r="T90" s="153"/>
      <c r="U90" s="153"/>
      <c r="W90" s="13" t="str">
        <f t="shared" si="8"/>
        <v/>
      </c>
    </row>
    <row r="91" spans="1:23">
      <c r="A91" s="13" t="str">
        <f>IF(T91="YES",MAX($A$12:A90)+1,"")</f>
        <v/>
      </c>
      <c r="B91" s="20"/>
      <c r="C91" s="5" t="str">
        <f t="shared" si="9"/>
        <v>Buildings Category 2</v>
      </c>
      <c r="D91" s="5" t="s">
        <v>52</v>
      </c>
      <c r="E91" s="5"/>
      <c r="F91" s="152"/>
      <c r="G91" s="234"/>
      <c r="H91" s="8"/>
      <c r="I91" s="8"/>
      <c r="J91" s="8"/>
      <c r="K91" s="29">
        <v>500</v>
      </c>
      <c r="L91" s="78"/>
      <c r="M91" s="37">
        <f>F91*G91*H91*I91*Baseline!$F$24</f>
        <v>0</v>
      </c>
      <c r="N91" s="37">
        <f>F91*G91*H91*J91*Baseline!$G$24</f>
        <v>0</v>
      </c>
      <c r="O91" s="60">
        <f>(M91*References!$C$27+N91*References!$C$26)/1000</f>
        <v>0</v>
      </c>
      <c r="P91" s="38">
        <f t="shared" si="6"/>
        <v>0</v>
      </c>
      <c r="Q91" s="38">
        <f>(M91*References!$C$57+Opportunities!N91*References!$C$56)/100</f>
        <v>0</v>
      </c>
      <c r="R91" s="35">
        <f t="shared" si="7"/>
        <v>0</v>
      </c>
      <c r="S91" s="36">
        <f>O91/'Graphs&amp;Analysis'!$D$24</f>
        <v>0</v>
      </c>
      <c r="T91" s="153"/>
      <c r="U91" s="153"/>
      <c r="W91" s="13" t="str">
        <f t="shared" si="8"/>
        <v/>
      </c>
    </row>
    <row r="92" spans="1:23">
      <c r="A92" s="13" t="str">
        <f>IF(T92="YES",MAX($A$12:A91)+1,"")</f>
        <v/>
      </c>
      <c r="C92" s="23"/>
      <c r="D92" s="23"/>
      <c r="E92" s="79"/>
      <c r="F92" s="23"/>
      <c r="G92" s="79"/>
      <c r="H92" s="79"/>
      <c r="I92" s="74"/>
      <c r="J92" s="23"/>
      <c r="K92" s="23"/>
      <c r="M92" s="23"/>
      <c r="N92" s="23"/>
      <c r="O92" s="23"/>
      <c r="P92" s="23"/>
      <c r="Q92" s="23"/>
      <c r="R92" s="23"/>
      <c r="S92" s="23"/>
      <c r="T92" s="23"/>
      <c r="U92" s="23"/>
      <c r="W92" s="13" t="str">
        <f t="shared" si="8"/>
        <v/>
      </c>
    </row>
    <row r="93" spans="1:23">
      <c r="A93" s="13" t="str">
        <f>IF(T93="YES",MAX($A$12:A92)+1,"")</f>
        <v/>
      </c>
      <c r="B93" s="252" t="s">
        <v>128</v>
      </c>
      <c r="C93" s="252"/>
      <c r="G93" s="16"/>
      <c r="H93" s="16"/>
      <c r="I93" s="67"/>
      <c r="K93" s="68" t="s">
        <v>3</v>
      </c>
      <c r="L93" s="68"/>
      <c r="M93" s="69">
        <f>SUM(M56:M92)</f>
        <v>1003090.9090909091</v>
      </c>
      <c r="N93" s="69">
        <f>SUM(N56:N92)</f>
        <v>222300</v>
      </c>
      <c r="O93" s="69">
        <f>SUM(O56:O92)</f>
        <v>304.92127145454549</v>
      </c>
    </row>
    <row r="94" spans="1:23">
      <c r="A94" s="13" t="str">
        <f>IF(T94="YES",MAX($A$12:A93)+1,"")</f>
        <v/>
      </c>
      <c r="G94" s="16"/>
      <c r="H94" s="16"/>
      <c r="I94" s="67"/>
      <c r="K94" s="68" t="str">
        <f>CONCATENATE("Savings as a % of  ",C56," emissions")</f>
        <v>Savings as a % of  Buildings Category 2 emissions</v>
      </c>
      <c r="L94" s="68"/>
      <c r="M94" s="62">
        <f>M93/Baseline!$F$24</f>
        <v>8.3590909090909091E-2</v>
      </c>
      <c r="N94" s="62">
        <f>N93/Baseline!$G$24</f>
        <v>2.9250000000000002E-2</v>
      </c>
      <c r="O94" s="62">
        <f>O93/Baseline!$H$24</f>
        <v>4.839258190687204E-2</v>
      </c>
    </row>
    <row r="95" spans="1:23">
      <c r="A95" s="13" t="str">
        <f>IF(T95="YES",MAX($A$12:A94)+1,"")</f>
        <v/>
      </c>
    </row>
    <row r="96" spans="1:23">
      <c r="A96" s="13" t="str">
        <f>IF(T96="YES",MAX($A$12:A95)+1,"")</f>
        <v/>
      </c>
    </row>
    <row r="97" spans="1:23">
      <c r="A97" s="13" t="str">
        <f>IF(T97="YES",MAX($A$12:A96)+1,"")</f>
        <v/>
      </c>
      <c r="B97" s="66" t="s">
        <v>191</v>
      </c>
      <c r="C97" s="73"/>
      <c r="D97" s="22"/>
      <c r="E97" s="237"/>
      <c r="F97" s="22"/>
      <c r="G97" s="22"/>
      <c r="H97" s="22"/>
      <c r="I97" s="22"/>
      <c r="J97" s="22"/>
      <c r="K97" s="22"/>
      <c r="M97" s="22"/>
      <c r="N97" s="22"/>
      <c r="O97" s="22"/>
      <c r="P97" s="22"/>
      <c r="Q97" s="22"/>
      <c r="R97" s="22"/>
      <c r="S97" s="22"/>
      <c r="T97" s="22"/>
      <c r="U97" s="22"/>
    </row>
    <row r="98" spans="1:23" ht="51">
      <c r="A98" s="13" t="str">
        <f>IF(T98="YES",MAX($A$12:A97)+1,"")</f>
        <v/>
      </c>
      <c r="B98" s="20"/>
      <c r="C98" s="1" t="s">
        <v>151</v>
      </c>
      <c r="D98" s="1" t="s">
        <v>5</v>
      </c>
      <c r="E98" s="1" t="s">
        <v>6</v>
      </c>
      <c r="F98" s="1" t="s">
        <v>7</v>
      </c>
      <c r="G98" s="1" t="s">
        <v>8</v>
      </c>
      <c r="H98" s="1" t="s">
        <v>9</v>
      </c>
      <c r="I98" s="1" t="s">
        <v>10</v>
      </c>
      <c r="J98" s="1" t="s">
        <v>11</v>
      </c>
      <c r="K98" s="1" t="s">
        <v>109</v>
      </c>
      <c r="L98" s="75"/>
      <c r="M98" s="1" t="s">
        <v>12</v>
      </c>
      <c r="N98" s="1" t="s">
        <v>13</v>
      </c>
      <c r="O98" s="1" t="s">
        <v>14</v>
      </c>
      <c r="P98" s="1" t="s">
        <v>108</v>
      </c>
      <c r="Q98" s="1" t="s">
        <v>111</v>
      </c>
      <c r="R98" s="1" t="s">
        <v>150</v>
      </c>
      <c r="S98" s="1" t="s">
        <v>77</v>
      </c>
      <c r="T98" s="1" t="s">
        <v>110</v>
      </c>
      <c r="U98" s="1" t="s">
        <v>160</v>
      </c>
    </row>
    <row r="99" spans="1:23">
      <c r="A99" s="13" t="str">
        <f>IF(T99="YES",MAX($A$12:A98)+1,"")</f>
        <v/>
      </c>
      <c r="B99" s="20"/>
      <c r="C99" s="5" t="str">
        <f>Baseline!C25</f>
        <v>Buildings Category 3</v>
      </c>
      <c r="D99" s="5" t="s">
        <v>15</v>
      </c>
      <c r="E99" s="5" t="s">
        <v>16</v>
      </c>
      <c r="F99" s="152"/>
      <c r="G99" s="234"/>
      <c r="H99" s="233">
        <v>2.9411764705882346E-2</v>
      </c>
      <c r="I99" s="231"/>
      <c r="J99" s="233">
        <v>0.05</v>
      </c>
      <c r="K99" s="235">
        <v>500</v>
      </c>
      <c r="L99" s="78"/>
      <c r="M99" s="37">
        <f>F99*G99*H99*I99*Baseline!$F$23</f>
        <v>0</v>
      </c>
      <c r="N99" s="37">
        <f>F99*G99*H99*J99*Baseline!$G$23</f>
        <v>0</v>
      </c>
      <c r="O99" s="60">
        <f>(M99*References!$C$27+N99*References!$C$26)/1000</f>
        <v>0</v>
      </c>
      <c r="P99" s="38">
        <f t="shared" ref="P99:P134" si="12">O99*K99</f>
        <v>0</v>
      </c>
      <c r="Q99" s="38">
        <f>(M99*References!$C$57+Opportunities!N99*References!$C$56)/100</f>
        <v>0</v>
      </c>
      <c r="R99" s="35">
        <f t="shared" ref="R99:R134" si="13">IF(ISERROR(P99/Q99),0,P99/Q99)</f>
        <v>0</v>
      </c>
      <c r="S99" s="36">
        <f>O99/'Graphs&amp;Analysis'!$D$24</f>
        <v>0</v>
      </c>
      <c r="T99" s="153"/>
      <c r="U99" s="153"/>
      <c r="W99" s="13" t="str">
        <f t="shared" ref="W99:W134" si="14">IF(O99&gt;0,"Buildings","")</f>
        <v/>
      </c>
    </row>
    <row r="100" spans="1:23" ht="25.5">
      <c r="A100" s="13" t="str">
        <f>IF(T100="YES",MAX($A$12:A99)+1,"")</f>
        <v/>
      </c>
      <c r="B100" s="20"/>
      <c r="C100" s="5" t="str">
        <f>C99</f>
        <v>Buildings Category 3</v>
      </c>
      <c r="D100" s="5" t="s">
        <v>17</v>
      </c>
      <c r="E100" s="5" t="s">
        <v>18</v>
      </c>
      <c r="F100" s="152"/>
      <c r="G100" s="234"/>
      <c r="H100" s="233">
        <v>2.9411764705882346E-2</v>
      </c>
      <c r="I100" s="231"/>
      <c r="J100" s="233">
        <v>0.05</v>
      </c>
      <c r="K100" s="235">
        <v>500</v>
      </c>
      <c r="L100" s="77"/>
      <c r="M100" s="37">
        <f>F100*G100*H100*I100*Baseline!$F$25</f>
        <v>0</v>
      </c>
      <c r="N100" s="37">
        <f>F100*G100*H100*J100*Baseline!$G$25</f>
        <v>0</v>
      </c>
      <c r="O100" s="60">
        <f>(M100*References!$C$27+N100*References!$C$26)/1000</f>
        <v>0</v>
      </c>
      <c r="P100" s="38">
        <f t="shared" si="12"/>
        <v>0</v>
      </c>
      <c r="Q100" s="38">
        <f>(M100*References!$C$57+Opportunities!N100*References!$C$56)/100</f>
        <v>0</v>
      </c>
      <c r="R100" s="35">
        <f t="shared" si="13"/>
        <v>0</v>
      </c>
      <c r="S100" s="36">
        <f>O100/'Graphs&amp;Analysis'!$D$24</f>
        <v>0</v>
      </c>
      <c r="T100" s="153"/>
      <c r="U100" s="153"/>
      <c r="W100" s="13" t="str">
        <f t="shared" si="14"/>
        <v/>
      </c>
    </row>
    <row r="101" spans="1:23">
      <c r="A101" s="13" t="str">
        <f>IF(T101="YES",MAX($A$12:A100)+1,"")</f>
        <v/>
      </c>
      <c r="B101" s="20"/>
      <c r="C101" s="5" t="str">
        <f t="shared" ref="C101:C134" si="15">C100</f>
        <v>Buildings Category 3</v>
      </c>
      <c r="D101" s="5" t="s">
        <v>24</v>
      </c>
      <c r="E101" s="5" t="s">
        <v>24</v>
      </c>
      <c r="F101" s="152"/>
      <c r="G101" s="234"/>
      <c r="H101" s="233">
        <v>0.5</v>
      </c>
      <c r="I101" s="233">
        <v>0.05</v>
      </c>
      <c r="J101" s="233">
        <v>0.02</v>
      </c>
      <c r="K101" s="235">
        <v>470</v>
      </c>
      <c r="L101" s="77"/>
      <c r="M101" s="37">
        <f>F101*G101*H101*I101*Baseline!$F$25</f>
        <v>0</v>
      </c>
      <c r="N101" s="37">
        <f>F101*G101*H101*J101*Baseline!$G$25</f>
        <v>0</v>
      </c>
      <c r="O101" s="60">
        <f>(M101*References!$C$27+N101*References!$C$26)/1000</f>
        <v>0</v>
      </c>
      <c r="P101" s="38">
        <f t="shared" si="12"/>
        <v>0</v>
      </c>
      <c r="Q101" s="38">
        <f>(M101*References!$C$57+Opportunities!N101*References!$C$56)/100</f>
        <v>0</v>
      </c>
      <c r="R101" s="35">
        <f t="shared" si="13"/>
        <v>0</v>
      </c>
      <c r="S101" s="36">
        <f>O101/'Graphs&amp;Analysis'!$D$24</f>
        <v>0</v>
      </c>
      <c r="T101" s="153"/>
      <c r="U101" s="153"/>
      <c r="W101" s="13" t="str">
        <f t="shared" si="14"/>
        <v/>
      </c>
    </row>
    <row r="102" spans="1:23">
      <c r="A102" s="13" t="str">
        <f>IF(T102="YES",MAX($A$12:A101)+1,"")</f>
        <v/>
      </c>
      <c r="B102" s="20"/>
      <c r="C102" s="5" t="str">
        <f t="shared" si="15"/>
        <v>Buildings Category 3</v>
      </c>
      <c r="D102" s="5" t="s">
        <v>25</v>
      </c>
      <c r="E102" s="5" t="s">
        <v>26</v>
      </c>
      <c r="F102" s="152"/>
      <c r="G102" s="234"/>
      <c r="H102" s="233">
        <v>0.5</v>
      </c>
      <c r="I102" s="233">
        <v>0.05</v>
      </c>
      <c r="J102" s="233">
        <v>0.02</v>
      </c>
      <c r="K102" s="235">
        <v>427</v>
      </c>
      <c r="L102" s="77"/>
      <c r="M102" s="37">
        <f>F102*G102*H102*I102*Baseline!$F$25</f>
        <v>0</v>
      </c>
      <c r="N102" s="37">
        <f>F102*G102*H102*J102*Baseline!$G$25</f>
        <v>0</v>
      </c>
      <c r="O102" s="60">
        <f>(M102*References!$C$27+N102*References!$C$26)/1000</f>
        <v>0</v>
      </c>
      <c r="P102" s="38">
        <f t="shared" si="12"/>
        <v>0</v>
      </c>
      <c r="Q102" s="38">
        <f>(M102*References!$C$57+Opportunities!N102*References!$C$56)/100</f>
        <v>0</v>
      </c>
      <c r="R102" s="35">
        <f t="shared" si="13"/>
        <v>0</v>
      </c>
      <c r="S102" s="36">
        <f>O102/'Graphs&amp;Analysis'!$D$24</f>
        <v>0</v>
      </c>
      <c r="T102" s="153"/>
      <c r="U102" s="153"/>
      <c r="W102" s="13" t="str">
        <f t="shared" si="14"/>
        <v/>
      </c>
    </row>
    <row r="103" spans="1:23">
      <c r="A103" s="13" t="str">
        <f>IF(T103="YES",MAX($A$12:A102)+1,"")</f>
        <v/>
      </c>
      <c r="B103" s="20"/>
      <c r="C103" s="5" t="str">
        <f t="shared" si="15"/>
        <v>Buildings Category 3</v>
      </c>
      <c r="D103" s="5" t="s">
        <v>19</v>
      </c>
      <c r="E103" s="5" t="s">
        <v>22</v>
      </c>
      <c r="F103" s="152"/>
      <c r="G103" s="234"/>
      <c r="H103" s="233">
        <v>0.93939393939393934</v>
      </c>
      <c r="I103" s="232">
        <v>0.05</v>
      </c>
      <c r="J103" s="231"/>
      <c r="K103" s="235">
        <v>628</v>
      </c>
      <c r="L103" s="77"/>
      <c r="M103" s="37">
        <f>F103*G103*H103*I103*Baseline!$F$25</f>
        <v>0</v>
      </c>
      <c r="N103" s="37">
        <f>F103*G103*H103*J103*Baseline!$G$25</f>
        <v>0</v>
      </c>
      <c r="O103" s="60">
        <f>(M103*References!$C$27+N103*References!$C$26)/1000</f>
        <v>0</v>
      </c>
      <c r="P103" s="38">
        <f t="shared" si="12"/>
        <v>0</v>
      </c>
      <c r="Q103" s="38">
        <f>(M103*References!$C$57+Opportunities!N103*References!$C$56)/100</f>
        <v>0</v>
      </c>
      <c r="R103" s="35">
        <f t="shared" si="13"/>
        <v>0</v>
      </c>
      <c r="S103" s="36">
        <f>O103/'Graphs&amp;Analysis'!$D$24</f>
        <v>0</v>
      </c>
      <c r="T103" s="153"/>
      <c r="U103" s="153"/>
      <c r="W103" s="13" t="str">
        <f t="shared" si="14"/>
        <v/>
      </c>
    </row>
    <row r="104" spans="1:23">
      <c r="A104" s="13" t="str">
        <f>IF(T104="YES",MAX($A$12:A103)+1,"")</f>
        <v/>
      </c>
      <c r="B104" s="20"/>
      <c r="C104" s="5" t="str">
        <f t="shared" si="15"/>
        <v>Buildings Category 3</v>
      </c>
      <c r="D104" s="5" t="s">
        <v>19</v>
      </c>
      <c r="E104" s="5" t="s">
        <v>23</v>
      </c>
      <c r="F104" s="152"/>
      <c r="G104" s="234"/>
      <c r="H104" s="233">
        <v>0.93939393939393934</v>
      </c>
      <c r="I104" s="232">
        <v>0.1</v>
      </c>
      <c r="J104" s="231"/>
      <c r="K104" s="235">
        <v>574</v>
      </c>
      <c r="L104" s="77"/>
      <c r="M104" s="37">
        <f>F104*G104*H104*I104*Baseline!$F$25</f>
        <v>0</v>
      </c>
      <c r="N104" s="37">
        <f>F104*G104*H104*J104*Baseline!$G$25</f>
        <v>0</v>
      </c>
      <c r="O104" s="60">
        <f>(M104*References!$C$27+N104*References!$C$26)/1000</f>
        <v>0</v>
      </c>
      <c r="P104" s="38">
        <f t="shared" si="12"/>
        <v>0</v>
      </c>
      <c r="Q104" s="38">
        <f>(M104*References!$C$57+Opportunities!N104*References!$C$56)/100</f>
        <v>0</v>
      </c>
      <c r="R104" s="35">
        <f t="shared" si="13"/>
        <v>0</v>
      </c>
      <c r="S104" s="36">
        <f>O104/'Graphs&amp;Analysis'!$D$24</f>
        <v>0</v>
      </c>
      <c r="T104" s="153"/>
      <c r="U104" s="153"/>
      <c r="W104" s="13" t="str">
        <f t="shared" si="14"/>
        <v/>
      </c>
    </row>
    <row r="105" spans="1:23">
      <c r="A105" s="13" t="str">
        <f>IF(T105="YES",MAX($A$12:A104)+1,"")</f>
        <v/>
      </c>
      <c r="B105" s="20"/>
      <c r="C105" s="5" t="str">
        <f t="shared" si="15"/>
        <v>Buildings Category 3</v>
      </c>
      <c r="D105" s="5" t="s">
        <v>19</v>
      </c>
      <c r="E105" s="5" t="s">
        <v>21</v>
      </c>
      <c r="F105" s="152"/>
      <c r="G105" s="234"/>
      <c r="H105" s="233">
        <v>0.93939393939393934</v>
      </c>
      <c r="I105" s="232">
        <v>0.05</v>
      </c>
      <c r="J105" s="231"/>
      <c r="K105" s="235">
        <v>566</v>
      </c>
      <c r="L105" s="77"/>
      <c r="M105" s="37">
        <f>F105*G105*H105*I105*Baseline!$F$25</f>
        <v>0</v>
      </c>
      <c r="N105" s="37">
        <f>F105*G105*H105*J105*Baseline!$G$25</f>
        <v>0</v>
      </c>
      <c r="O105" s="60">
        <f>(M105*References!$C$27+N105*References!$C$26)/1000</f>
        <v>0</v>
      </c>
      <c r="P105" s="38">
        <f t="shared" si="12"/>
        <v>0</v>
      </c>
      <c r="Q105" s="38">
        <f>(M105*References!$C$57+Opportunities!N105*References!$C$56)/100</f>
        <v>0</v>
      </c>
      <c r="R105" s="35">
        <f t="shared" si="13"/>
        <v>0</v>
      </c>
      <c r="S105" s="36">
        <f>O105/'Graphs&amp;Analysis'!$D$24</f>
        <v>0</v>
      </c>
      <c r="T105" s="153"/>
      <c r="U105" s="153"/>
      <c r="W105" s="13" t="str">
        <f t="shared" si="14"/>
        <v/>
      </c>
    </row>
    <row r="106" spans="1:23">
      <c r="A106" s="13" t="str">
        <f>IF(T106="YES",MAX($A$12:A105)+1,"")</f>
        <v/>
      </c>
      <c r="B106" s="20"/>
      <c r="C106" s="5" t="str">
        <f t="shared" si="15"/>
        <v>Buildings Category 3</v>
      </c>
      <c r="D106" s="5" t="s">
        <v>19</v>
      </c>
      <c r="E106" s="5" t="s">
        <v>20</v>
      </c>
      <c r="F106" s="152"/>
      <c r="G106" s="234"/>
      <c r="H106" s="233">
        <v>0.93939393939393934</v>
      </c>
      <c r="I106" s="232">
        <v>0.1</v>
      </c>
      <c r="J106" s="231"/>
      <c r="K106" s="235">
        <v>750</v>
      </c>
      <c r="L106" s="77"/>
      <c r="M106" s="37">
        <f>F106*G106*H106*I106*Baseline!$F$25</f>
        <v>0</v>
      </c>
      <c r="N106" s="37">
        <f>F106*G106*H106*J106*Baseline!$G$25</f>
        <v>0</v>
      </c>
      <c r="O106" s="60">
        <f>(M106*References!$C$27+N106*References!$C$26)/1000</f>
        <v>0</v>
      </c>
      <c r="P106" s="38">
        <f t="shared" si="12"/>
        <v>0</v>
      </c>
      <c r="Q106" s="38">
        <f>(M106*References!$C$57+Opportunities!N106*References!$C$56)/100</f>
        <v>0</v>
      </c>
      <c r="R106" s="35">
        <f t="shared" si="13"/>
        <v>0</v>
      </c>
      <c r="S106" s="36">
        <f>O106/'Graphs&amp;Analysis'!$D$24</f>
        <v>0</v>
      </c>
      <c r="T106" s="153"/>
      <c r="U106" s="153"/>
      <c r="W106" s="13" t="str">
        <f t="shared" si="14"/>
        <v/>
      </c>
    </row>
    <row r="107" spans="1:23" ht="25.5">
      <c r="A107" s="13" t="str">
        <f>IF(T107="YES",MAX($A$12:A106)+1,"")</f>
        <v/>
      </c>
      <c r="B107" s="20"/>
      <c r="C107" s="5" t="str">
        <f t="shared" si="15"/>
        <v>Buildings Category 3</v>
      </c>
      <c r="D107" s="5" t="s">
        <v>29</v>
      </c>
      <c r="E107" s="5" t="s">
        <v>30</v>
      </c>
      <c r="F107" s="152"/>
      <c r="G107" s="234"/>
      <c r="H107" s="233">
        <v>0.93939393939393934</v>
      </c>
      <c r="I107" s="232">
        <v>0.15</v>
      </c>
      <c r="J107" s="231"/>
      <c r="K107" s="235">
        <v>641</v>
      </c>
      <c r="L107" s="77"/>
      <c r="M107" s="37">
        <f>F107*G107*H107*I107*Baseline!$F$25</f>
        <v>0</v>
      </c>
      <c r="N107" s="37">
        <f>F107*G107*H107*J107*Baseline!$G$25</f>
        <v>0</v>
      </c>
      <c r="O107" s="60">
        <f>(M107*References!$C$27+N107*References!$C$26)/1000</f>
        <v>0</v>
      </c>
      <c r="P107" s="38">
        <f t="shared" si="12"/>
        <v>0</v>
      </c>
      <c r="Q107" s="38">
        <f>(M107*References!$C$57+Opportunities!N107*References!$C$56)/100</f>
        <v>0</v>
      </c>
      <c r="R107" s="35">
        <f t="shared" si="13"/>
        <v>0</v>
      </c>
      <c r="S107" s="36">
        <f>O107/'Graphs&amp;Analysis'!$D$24</f>
        <v>0</v>
      </c>
      <c r="T107" s="153"/>
      <c r="U107" s="153"/>
      <c r="W107" s="13" t="str">
        <f t="shared" si="14"/>
        <v/>
      </c>
    </row>
    <row r="108" spans="1:23">
      <c r="A108" s="13" t="str">
        <f>IF(T108="YES",MAX($A$12:A107)+1,"")</f>
        <v/>
      </c>
      <c r="B108" s="20"/>
      <c r="C108" s="5" t="str">
        <f t="shared" si="15"/>
        <v>Buildings Category 3</v>
      </c>
      <c r="D108" s="5" t="s">
        <v>29</v>
      </c>
      <c r="E108" s="5" t="s">
        <v>31</v>
      </c>
      <c r="F108" s="152"/>
      <c r="G108" s="234"/>
      <c r="H108" s="233">
        <v>0.93939393939393934</v>
      </c>
      <c r="I108" s="232">
        <v>0.1</v>
      </c>
      <c r="J108" s="231"/>
      <c r="K108" s="235">
        <v>396</v>
      </c>
      <c r="L108" s="77"/>
      <c r="M108" s="37">
        <f>F108*G108*H108*I108*Baseline!$F$25</f>
        <v>0</v>
      </c>
      <c r="N108" s="37">
        <f>F108*G108*H108*J108*Baseline!$G$25</f>
        <v>0</v>
      </c>
      <c r="O108" s="60">
        <f>(M108*References!$C$27+N108*References!$C$26)/1000</f>
        <v>0</v>
      </c>
      <c r="P108" s="38">
        <f t="shared" si="12"/>
        <v>0</v>
      </c>
      <c r="Q108" s="38">
        <f>(M108*References!$C$57+Opportunities!N108*References!$C$56)/100</f>
        <v>0</v>
      </c>
      <c r="R108" s="35">
        <f t="shared" si="13"/>
        <v>0</v>
      </c>
      <c r="S108" s="36">
        <f>O108/'Graphs&amp;Analysis'!$D$24</f>
        <v>0</v>
      </c>
      <c r="T108" s="153"/>
      <c r="U108" s="153"/>
      <c r="W108" s="13" t="str">
        <f t="shared" si="14"/>
        <v/>
      </c>
    </row>
    <row r="109" spans="1:23">
      <c r="A109" s="13" t="str">
        <f>IF(T109="YES",MAX($A$12:A108)+1,"")</f>
        <v/>
      </c>
      <c r="B109" s="20"/>
      <c r="C109" s="5" t="str">
        <f t="shared" si="15"/>
        <v>Buildings Category 3</v>
      </c>
      <c r="D109" s="5" t="s">
        <v>29</v>
      </c>
      <c r="E109" s="5" t="s">
        <v>32</v>
      </c>
      <c r="F109" s="152"/>
      <c r="G109" s="234"/>
      <c r="H109" s="233">
        <v>0.93939393939393934</v>
      </c>
      <c r="I109" s="232">
        <v>7.0000000000000007E-2</v>
      </c>
      <c r="J109" s="231"/>
      <c r="K109" s="235">
        <v>470</v>
      </c>
      <c r="L109" s="77"/>
      <c r="M109" s="37">
        <f>F109*G109*H109*I109*Baseline!$F$25</f>
        <v>0</v>
      </c>
      <c r="N109" s="37">
        <f>F109*G109*H109*J109*Baseline!$G$25</f>
        <v>0</v>
      </c>
      <c r="O109" s="60">
        <f>(M109*References!$C$27+N109*References!$C$26)/1000</f>
        <v>0</v>
      </c>
      <c r="P109" s="38">
        <f t="shared" si="12"/>
        <v>0</v>
      </c>
      <c r="Q109" s="38">
        <f>(M109*References!$C$57+Opportunities!N109*References!$C$56)/100</f>
        <v>0</v>
      </c>
      <c r="R109" s="35">
        <f t="shared" si="13"/>
        <v>0</v>
      </c>
      <c r="S109" s="36">
        <f>O109/'Graphs&amp;Analysis'!$D$24</f>
        <v>0</v>
      </c>
      <c r="T109" s="153"/>
      <c r="U109" s="153"/>
      <c r="W109" s="13" t="str">
        <f t="shared" si="14"/>
        <v/>
      </c>
    </row>
    <row r="110" spans="1:23">
      <c r="A110" s="13" t="str">
        <f>IF(T110="YES",MAX($A$12:A109)+1,"")</f>
        <v/>
      </c>
      <c r="B110" s="20"/>
      <c r="C110" s="5" t="str">
        <f t="shared" si="15"/>
        <v>Buildings Category 3</v>
      </c>
      <c r="D110" s="5" t="s">
        <v>29</v>
      </c>
      <c r="E110" s="5" t="s">
        <v>33</v>
      </c>
      <c r="F110" s="152"/>
      <c r="G110" s="234"/>
      <c r="H110" s="233">
        <v>0.93939393939393934</v>
      </c>
      <c r="I110" s="232">
        <v>0.05</v>
      </c>
      <c r="J110" s="231"/>
      <c r="K110" s="235">
        <v>682</v>
      </c>
      <c r="L110" s="77"/>
      <c r="M110" s="37">
        <f>F110*G110*H110*I110*Baseline!$F$25</f>
        <v>0</v>
      </c>
      <c r="N110" s="37">
        <f>F110*G110*H110*J110*Baseline!$G$25</f>
        <v>0</v>
      </c>
      <c r="O110" s="60">
        <f>(M110*References!$C$27+N110*References!$C$26)/1000</f>
        <v>0</v>
      </c>
      <c r="P110" s="38">
        <f t="shared" si="12"/>
        <v>0</v>
      </c>
      <c r="Q110" s="38">
        <f>(M110*References!$C$57+Opportunities!N110*References!$C$56)/100</f>
        <v>0</v>
      </c>
      <c r="R110" s="35">
        <f t="shared" si="13"/>
        <v>0</v>
      </c>
      <c r="S110" s="36">
        <f>O110/'Graphs&amp;Analysis'!$D$24</f>
        <v>0</v>
      </c>
      <c r="T110" s="153"/>
      <c r="U110" s="153"/>
      <c r="W110" s="13" t="str">
        <f t="shared" si="14"/>
        <v/>
      </c>
    </row>
    <row r="111" spans="1:23" ht="25.5">
      <c r="A111" s="13" t="str">
        <f>IF(T111="YES",MAX($A$12:A110)+1,"")</f>
        <v/>
      </c>
      <c r="B111" s="20"/>
      <c r="C111" s="5" t="str">
        <f t="shared" si="15"/>
        <v>Buildings Category 3</v>
      </c>
      <c r="D111" s="5" t="s">
        <v>34</v>
      </c>
      <c r="E111" s="5" t="s">
        <v>35</v>
      </c>
      <c r="F111" s="152"/>
      <c r="G111" s="234"/>
      <c r="H111" s="232">
        <v>0.05</v>
      </c>
      <c r="I111" s="232">
        <v>0.7</v>
      </c>
      <c r="J111" s="231"/>
      <c r="K111" s="235">
        <v>472</v>
      </c>
      <c r="L111" s="77"/>
      <c r="M111" s="37">
        <f>F111*G111*H111*I111*Baseline!$F$25</f>
        <v>0</v>
      </c>
      <c r="N111" s="37">
        <f>F111*G111*H111*J111*Baseline!$G$25</f>
        <v>0</v>
      </c>
      <c r="O111" s="60">
        <f>(M111*References!$C$27+N111*References!$C$26)/1000</f>
        <v>0</v>
      </c>
      <c r="P111" s="38">
        <f t="shared" si="12"/>
        <v>0</v>
      </c>
      <c r="Q111" s="38">
        <f>(M111*References!$C$57+Opportunities!N111*References!$C$56)/100</f>
        <v>0</v>
      </c>
      <c r="R111" s="35">
        <f t="shared" si="13"/>
        <v>0</v>
      </c>
      <c r="S111" s="36">
        <f>O111/'Graphs&amp;Analysis'!$D$24</f>
        <v>0</v>
      </c>
      <c r="T111" s="153"/>
      <c r="U111" s="153"/>
      <c r="W111" s="13" t="str">
        <f t="shared" si="14"/>
        <v/>
      </c>
    </row>
    <row r="112" spans="1:23" ht="25.5">
      <c r="A112" s="13" t="str">
        <f>IF(T112="YES",MAX($A$12:A111)+1,"")</f>
        <v/>
      </c>
      <c r="B112" s="20"/>
      <c r="C112" s="5" t="str">
        <f t="shared" si="15"/>
        <v>Buildings Category 3</v>
      </c>
      <c r="D112" s="5" t="s">
        <v>27</v>
      </c>
      <c r="E112" s="5" t="s">
        <v>122</v>
      </c>
      <c r="F112" s="152"/>
      <c r="G112" s="234"/>
      <c r="H112" s="232">
        <v>1</v>
      </c>
      <c r="I112" s="232">
        <v>0.8</v>
      </c>
      <c r="J112" s="231"/>
      <c r="K112" s="235">
        <v>803</v>
      </c>
      <c r="L112" s="77"/>
      <c r="M112" s="37">
        <f>F112*G112*H112*I112*Baseline!$F$25</f>
        <v>0</v>
      </c>
      <c r="N112" s="37">
        <f>F112*G112*H112*J112*Baseline!$G$25</f>
        <v>0</v>
      </c>
      <c r="O112" s="60">
        <f>(M112*References!$C$27+N112*References!$C$26)/1000</f>
        <v>0</v>
      </c>
      <c r="P112" s="38">
        <f t="shared" si="12"/>
        <v>0</v>
      </c>
      <c r="Q112" s="38">
        <f>(M112*References!$C$57+Opportunities!N112*References!$C$56)/100</f>
        <v>0</v>
      </c>
      <c r="R112" s="35">
        <f t="shared" si="13"/>
        <v>0</v>
      </c>
      <c r="S112" s="36">
        <f>O112/'Graphs&amp;Analysis'!$D$24</f>
        <v>0</v>
      </c>
      <c r="T112" s="153"/>
      <c r="U112" s="153"/>
      <c r="W112" s="13" t="str">
        <f t="shared" si="14"/>
        <v/>
      </c>
    </row>
    <row r="113" spans="1:23" ht="25.5">
      <c r="A113" s="13" t="str">
        <f>IF(T113="YES",MAX($A$12:A112)+1,"")</f>
        <v/>
      </c>
      <c r="B113" s="20"/>
      <c r="C113" s="5" t="str">
        <f t="shared" si="15"/>
        <v>Buildings Category 3</v>
      </c>
      <c r="D113" s="5" t="s">
        <v>27</v>
      </c>
      <c r="E113" s="5" t="s">
        <v>28</v>
      </c>
      <c r="F113" s="152"/>
      <c r="G113" s="234"/>
      <c r="H113" s="232">
        <v>1</v>
      </c>
      <c r="I113" s="232">
        <v>0.2</v>
      </c>
      <c r="J113" s="231"/>
      <c r="K113" s="235">
        <v>803</v>
      </c>
      <c r="L113" s="77"/>
      <c r="M113" s="37">
        <f>F113*G113*H113*I113*Baseline!$F$25</f>
        <v>0</v>
      </c>
      <c r="N113" s="37">
        <f>F113*G113*H113*J113*Baseline!$G$25</f>
        <v>0</v>
      </c>
      <c r="O113" s="60">
        <f>(M113*References!$C$27+N113*References!$C$26)/1000</f>
        <v>0</v>
      </c>
      <c r="P113" s="38">
        <f t="shared" si="12"/>
        <v>0</v>
      </c>
      <c r="Q113" s="38">
        <f>(M113*References!$C$57+Opportunities!N113*References!$C$56)/100</f>
        <v>0</v>
      </c>
      <c r="R113" s="35">
        <f t="shared" si="13"/>
        <v>0</v>
      </c>
      <c r="S113" s="36">
        <f>O113/'Graphs&amp;Analysis'!$D$24</f>
        <v>0</v>
      </c>
      <c r="T113" s="153"/>
      <c r="U113" s="153"/>
      <c r="W113" s="13" t="str">
        <f t="shared" si="14"/>
        <v/>
      </c>
    </row>
    <row r="114" spans="1:23" ht="25.5">
      <c r="A114" s="13" t="str">
        <f>IF(T114="YES",MAX($A$12:A113)+1,"")</f>
        <v/>
      </c>
      <c r="B114" s="20"/>
      <c r="C114" s="5" t="str">
        <f t="shared" si="15"/>
        <v>Buildings Category 3</v>
      </c>
      <c r="D114" s="5" t="s">
        <v>47</v>
      </c>
      <c r="E114" s="5" t="s">
        <v>51</v>
      </c>
      <c r="F114" s="152"/>
      <c r="G114" s="234"/>
      <c r="H114" s="233">
        <v>0.17647058823529407</v>
      </c>
      <c r="I114" s="231"/>
      <c r="J114" s="232">
        <v>0.1</v>
      </c>
      <c r="K114" s="235">
        <v>294</v>
      </c>
      <c r="L114" s="77"/>
      <c r="M114" s="37">
        <f>F114*G114*H114*I114*Baseline!$F$25</f>
        <v>0</v>
      </c>
      <c r="N114" s="37">
        <f>F114*G114*H114*J114*Baseline!$G$25</f>
        <v>0</v>
      </c>
      <c r="O114" s="60">
        <f>(M114*References!$C$27+N114*References!$C$26)/1000</f>
        <v>0</v>
      </c>
      <c r="P114" s="38">
        <f t="shared" si="12"/>
        <v>0</v>
      </c>
      <c r="Q114" s="38">
        <f>(M114*References!$C$57+Opportunities!N114*References!$C$56)/100</f>
        <v>0</v>
      </c>
      <c r="R114" s="35">
        <f t="shared" si="13"/>
        <v>0</v>
      </c>
      <c r="S114" s="36">
        <f>O114/'Graphs&amp;Analysis'!$D$24</f>
        <v>0</v>
      </c>
      <c r="T114" s="153"/>
      <c r="U114" s="153"/>
      <c r="W114" s="13" t="str">
        <f t="shared" si="14"/>
        <v/>
      </c>
    </row>
    <row r="115" spans="1:23">
      <c r="A115" s="13" t="str">
        <f>IF(T115="YES",MAX($A$12:A114)+1,"")</f>
        <v/>
      </c>
      <c r="B115" s="20"/>
      <c r="C115" s="5" t="str">
        <f t="shared" si="15"/>
        <v>Buildings Category 3</v>
      </c>
      <c r="D115" s="5" t="s">
        <v>47</v>
      </c>
      <c r="E115" s="5" t="s">
        <v>50</v>
      </c>
      <c r="F115" s="152"/>
      <c r="G115" s="234"/>
      <c r="H115" s="233">
        <v>0.17647058823529407</v>
      </c>
      <c r="I115" s="231"/>
      <c r="J115" s="232">
        <v>0.1</v>
      </c>
      <c r="K115" s="235">
        <v>4202</v>
      </c>
      <c r="L115" s="77"/>
      <c r="M115" s="37">
        <f>F115*G115*H115*I115*Baseline!$F$25</f>
        <v>0</v>
      </c>
      <c r="N115" s="37">
        <f>F115*G115*H115*J115*Baseline!$G$25</f>
        <v>0</v>
      </c>
      <c r="O115" s="60">
        <f>(M115*References!$C$27+N115*References!$C$26)/1000</f>
        <v>0</v>
      </c>
      <c r="P115" s="38">
        <f t="shared" si="12"/>
        <v>0</v>
      </c>
      <c r="Q115" s="38">
        <f>(M115*References!$C$57+Opportunities!N115*References!$C$56)/100</f>
        <v>0</v>
      </c>
      <c r="R115" s="35">
        <f t="shared" si="13"/>
        <v>0</v>
      </c>
      <c r="S115" s="36">
        <f>O115/'Graphs&amp;Analysis'!$D$24</f>
        <v>0</v>
      </c>
      <c r="T115" s="153"/>
      <c r="U115" s="153"/>
      <c r="W115" s="13" t="str">
        <f t="shared" si="14"/>
        <v/>
      </c>
    </row>
    <row r="116" spans="1:23">
      <c r="A116" s="13" t="str">
        <f>IF(T116="YES",MAX($A$12:A115)+1,"")</f>
        <v/>
      </c>
      <c r="B116" s="20"/>
      <c r="C116" s="5" t="str">
        <f t="shared" si="15"/>
        <v>Buildings Category 3</v>
      </c>
      <c r="D116" s="5" t="s">
        <v>47</v>
      </c>
      <c r="E116" s="5" t="s">
        <v>49</v>
      </c>
      <c r="F116" s="152"/>
      <c r="G116" s="234"/>
      <c r="H116" s="233">
        <v>0.17647058823529407</v>
      </c>
      <c r="I116" s="231"/>
      <c r="J116" s="232">
        <v>0.1</v>
      </c>
      <c r="K116" s="235">
        <v>1200</v>
      </c>
      <c r="L116" s="77"/>
      <c r="M116" s="37">
        <f>F116*G116*H116*I116*Baseline!$F$25</f>
        <v>0</v>
      </c>
      <c r="N116" s="37">
        <f>F116*G116*H116*J116*Baseline!$G$25</f>
        <v>0</v>
      </c>
      <c r="O116" s="60">
        <f>(M116*References!$C$27+N116*References!$C$26)/1000</f>
        <v>0</v>
      </c>
      <c r="P116" s="38">
        <f t="shared" si="12"/>
        <v>0</v>
      </c>
      <c r="Q116" s="38">
        <f>(M116*References!$C$57+Opportunities!N116*References!$C$56)/100</f>
        <v>0</v>
      </c>
      <c r="R116" s="35">
        <f t="shared" si="13"/>
        <v>0</v>
      </c>
      <c r="S116" s="36">
        <f>O116/'Graphs&amp;Analysis'!$D$24</f>
        <v>0</v>
      </c>
      <c r="T116" s="153"/>
      <c r="U116" s="153"/>
      <c r="W116" s="13" t="str">
        <f t="shared" si="14"/>
        <v/>
      </c>
    </row>
    <row r="117" spans="1:23" ht="25.5">
      <c r="A117" s="13" t="str">
        <f>IF(T117="YES",MAX($A$12:A116)+1,"")</f>
        <v/>
      </c>
      <c r="B117" s="20"/>
      <c r="C117" s="5" t="str">
        <f t="shared" si="15"/>
        <v>Buildings Category 3</v>
      </c>
      <c r="D117" s="5" t="s">
        <v>47</v>
      </c>
      <c r="E117" s="5" t="s">
        <v>48</v>
      </c>
      <c r="F117" s="152"/>
      <c r="G117" s="234"/>
      <c r="H117" s="233">
        <v>2.9411764705882346E-2</v>
      </c>
      <c r="I117" s="231"/>
      <c r="J117" s="232">
        <v>0.5</v>
      </c>
      <c r="K117" s="235">
        <v>606</v>
      </c>
      <c r="L117" s="77"/>
      <c r="M117" s="37">
        <f>F117*G117*H117*I117*Baseline!$F$25</f>
        <v>0</v>
      </c>
      <c r="N117" s="37">
        <f>F117*G117*H117*J117*Baseline!$G$25</f>
        <v>0</v>
      </c>
      <c r="O117" s="60">
        <f>(M117*References!$C$27+N117*References!$C$26)/1000</f>
        <v>0</v>
      </c>
      <c r="P117" s="38">
        <f t="shared" si="12"/>
        <v>0</v>
      </c>
      <c r="Q117" s="38">
        <f>(M117*References!$C$57+Opportunities!N117*References!$C$56)/100</f>
        <v>0</v>
      </c>
      <c r="R117" s="35">
        <f t="shared" si="13"/>
        <v>0</v>
      </c>
      <c r="S117" s="36">
        <f>O117/'Graphs&amp;Analysis'!$D$24</f>
        <v>0</v>
      </c>
      <c r="T117" s="153"/>
      <c r="U117" s="153"/>
      <c r="W117" s="13" t="str">
        <f t="shared" si="14"/>
        <v/>
      </c>
    </row>
    <row r="118" spans="1:23" ht="25.5">
      <c r="A118" s="13" t="str">
        <f>IF(T118="YES",MAX($A$12:A117)+1,"")</f>
        <v/>
      </c>
      <c r="B118" s="20"/>
      <c r="C118" s="5" t="str">
        <f t="shared" si="15"/>
        <v>Buildings Category 3</v>
      </c>
      <c r="D118" s="5" t="s">
        <v>36</v>
      </c>
      <c r="E118" s="5" t="s">
        <v>37</v>
      </c>
      <c r="F118" s="152"/>
      <c r="G118" s="234"/>
      <c r="H118" s="233">
        <v>0.5</v>
      </c>
      <c r="I118" s="232"/>
      <c r="J118" s="232">
        <v>0.35</v>
      </c>
      <c r="K118" s="235">
        <v>1200</v>
      </c>
      <c r="L118" s="77"/>
      <c r="M118" s="37">
        <f>F118*G118*H118*I118*Baseline!$F$25</f>
        <v>0</v>
      </c>
      <c r="N118" s="37">
        <f>F118*G118*H118*J118*Baseline!$G$25</f>
        <v>0</v>
      </c>
      <c r="O118" s="60">
        <f>(M118*References!$C$27+N118*References!$C$26)/1000</f>
        <v>0</v>
      </c>
      <c r="P118" s="38">
        <f t="shared" si="12"/>
        <v>0</v>
      </c>
      <c r="Q118" s="38">
        <f>(M118*References!$C$57+Opportunities!N118*References!$C$56)/100</f>
        <v>0</v>
      </c>
      <c r="R118" s="35">
        <f t="shared" si="13"/>
        <v>0</v>
      </c>
      <c r="S118" s="36">
        <f>O118/'Graphs&amp;Analysis'!$D$24</f>
        <v>0</v>
      </c>
      <c r="T118" s="153"/>
      <c r="U118" s="153"/>
      <c r="W118" s="13" t="str">
        <f t="shared" si="14"/>
        <v/>
      </c>
    </row>
    <row r="119" spans="1:23">
      <c r="A119" s="13" t="str">
        <f>IF(T119="YES",MAX($A$12:A118)+1,"")</f>
        <v/>
      </c>
      <c r="B119" s="20"/>
      <c r="C119" s="5" t="str">
        <f t="shared" si="15"/>
        <v>Buildings Category 3</v>
      </c>
      <c r="D119" s="5" t="s">
        <v>36</v>
      </c>
      <c r="E119" s="5" t="s">
        <v>38</v>
      </c>
      <c r="F119" s="152"/>
      <c r="G119" s="234"/>
      <c r="H119" s="233">
        <v>0.5</v>
      </c>
      <c r="I119" s="232"/>
      <c r="J119" s="232">
        <v>0.5</v>
      </c>
      <c r="K119" s="235">
        <v>500</v>
      </c>
      <c r="L119" s="77"/>
      <c r="M119" s="37">
        <f>F119*G119*H119*I119*Baseline!$F$25</f>
        <v>0</v>
      </c>
      <c r="N119" s="37">
        <f>F119*G119*H119*J119*Baseline!$G$25</f>
        <v>0</v>
      </c>
      <c r="O119" s="60">
        <f>(M119*References!$C$27+N119*References!$C$26)/1000</f>
        <v>0</v>
      </c>
      <c r="P119" s="38">
        <f t="shared" si="12"/>
        <v>0</v>
      </c>
      <c r="Q119" s="38">
        <f>(M119*References!$C$57+Opportunities!N119*References!$C$56)/100</f>
        <v>0</v>
      </c>
      <c r="R119" s="35">
        <f t="shared" si="13"/>
        <v>0</v>
      </c>
      <c r="S119" s="36">
        <f>O119/'Graphs&amp;Analysis'!$D$24</f>
        <v>0</v>
      </c>
      <c r="T119" s="153"/>
      <c r="U119" s="153"/>
      <c r="W119" s="13" t="str">
        <f t="shared" si="14"/>
        <v/>
      </c>
    </row>
    <row r="120" spans="1:23" ht="25.5">
      <c r="A120" s="13" t="str">
        <f>IF(T120="YES",MAX($A$12:A119)+1,"")</f>
        <v/>
      </c>
      <c r="B120" s="20"/>
      <c r="C120" s="5" t="str">
        <f t="shared" si="15"/>
        <v>Buildings Category 3</v>
      </c>
      <c r="D120" s="5" t="s">
        <v>39</v>
      </c>
      <c r="E120" s="5" t="s">
        <v>40</v>
      </c>
      <c r="F120" s="152"/>
      <c r="G120" s="234"/>
      <c r="H120" s="233">
        <v>0.5</v>
      </c>
      <c r="I120" s="232"/>
      <c r="J120" s="232">
        <v>0.08</v>
      </c>
      <c r="K120" s="235">
        <v>633</v>
      </c>
      <c r="L120" s="78"/>
      <c r="M120" s="37">
        <f>F120*G120*H120*I120*Baseline!$F$25</f>
        <v>0</v>
      </c>
      <c r="N120" s="37">
        <f>F120*G120*H120*J120*Baseline!$G$25</f>
        <v>0</v>
      </c>
      <c r="O120" s="60">
        <f>(M120*References!$C$27+N120*References!$C$26)/1000</f>
        <v>0</v>
      </c>
      <c r="P120" s="38">
        <f t="shared" si="12"/>
        <v>0</v>
      </c>
      <c r="Q120" s="38">
        <f>(M120*References!$C$57+Opportunities!N120*References!$C$56)/100</f>
        <v>0</v>
      </c>
      <c r="R120" s="35">
        <f t="shared" si="13"/>
        <v>0</v>
      </c>
      <c r="S120" s="36">
        <f>O120/'Graphs&amp;Analysis'!$D$24</f>
        <v>0</v>
      </c>
      <c r="T120" s="153"/>
      <c r="U120" s="153"/>
      <c r="W120" s="13" t="str">
        <f t="shared" si="14"/>
        <v/>
      </c>
    </row>
    <row r="121" spans="1:23" ht="25.5">
      <c r="A121" s="13" t="str">
        <f>IF(T121="YES",MAX($A$12:A120)+1,"")</f>
        <v/>
      </c>
      <c r="B121" s="20"/>
      <c r="C121" s="5" t="str">
        <f t="shared" si="15"/>
        <v>Buildings Category 3</v>
      </c>
      <c r="D121" s="5" t="s">
        <v>43</v>
      </c>
      <c r="E121" s="5" t="s">
        <v>46</v>
      </c>
      <c r="F121" s="152"/>
      <c r="G121" s="234"/>
      <c r="H121" s="233">
        <v>1</v>
      </c>
      <c r="I121" s="232">
        <v>7.0000000000000007E-2</v>
      </c>
      <c r="J121" s="232">
        <v>7.0000000000000007E-2</v>
      </c>
      <c r="K121" s="235">
        <v>500</v>
      </c>
      <c r="L121" s="78"/>
      <c r="M121" s="37">
        <f>F121*G121*H121*I121*Baseline!$F$25</f>
        <v>0</v>
      </c>
      <c r="N121" s="37">
        <f>F121*G121*H121*J121*Baseline!$G$25</f>
        <v>0</v>
      </c>
      <c r="O121" s="60">
        <f>(M121*References!$C$27+N121*References!$C$26)/1000</f>
        <v>0</v>
      </c>
      <c r="P121" s="38">
        <f t="shared" si="12"/>
        <v>0</v>
      </c>
      <c r="Q121" s="38">
        <f>(M121*References!$C$57+Opportunities!N121*References!$C$56)/100</f>
        <v>0</v>
      </c>
      <c r="R121" s="35">
        <f t="shared" si="13"/>
        <v>0</v>
      </c>
      <c r="S121" s="36">
        <f>O121/'Graphs&amp;Analysis'!$D$24</f>
        <v>0</v>
      </c>
      <c r="T121" s="153"/>
      <c r="U121" s="153"/>
      <c r="W121" s="13" t="str">
        <f t="shared" si="14"/>
        <v/>
      </c>
    </row>
    <row r="122" spans="1:23" ht="25.5">
      <c r="A122" s="13" t="str">
        <f>IF(T122="YES",MAX($A$12:A121)+1,"")</f>
        <v/>
      </c>
      <c r="B122" s="20"/>
      <c r="C122" s="5" t="str">
        <f t="shared" si="15"/>
        <v>Buildings Category 3</v>
      </c>
      <c r="D122" s="5" t="s">
        <v>43</v>
      </c>
      <c r="E122" s="5" t="s">
        <v>44</v>
      </c>
      <c r="F122" s="152"/>
      <c r="G122" s="234"/>
      <c r="H122" s="233">
        <v>5.8823529411764691E-2</v>
      </c>
      <c r="I122" s="231"/>
      <c r="J122" s="232">
        <v>0.4</v>
      </c>
      <c r="K122" s="235">
        <v>307</v>
      </c>
      <c r="L122" s="78"/>
      <c r="M122" s="37">
        <f>F122*G122*H122*I122*Baseline!$F$25</f>
        <v>0</v>
      </c>
      <c r="N122" s="37">
        <f>F122*G122*H122*J122*Baseline!$G$25</f>
        <v>0</v>
      </c>
      <c r="O122" s="60">
        <f>(M122*References!$C$27+N122*References!$C$26)/1000</f>
        <v>0</v>
      </c>
      <c r="P122" s="38">
        <f t="shared" ref="P122:P131" si="16">O122*K122</f>
        <v>0</v>
      </c>
      <c r="Q122" s="38">
        <f>(M122*References!$C$57+Opportunities!N122*References!$C$56)/100</f>
        <v>0</v>
      </c>
      <c r="R122" s="35">
        <f t="shared" ref="R122:R131" si="17">IF(ISERROR(P122/Q122),0,P122/Q122)</f>
        <v>0</v>
      </c>
      <c r="S122" s="36">
        <f>O122/'Graphs&amp;Analysis'!$D$24</f>
        <v>0</v>
      </c>
      <c r="T122" s="153"/>
      <c r="U122" s="153"/>
      <c r="W122" s="13" t="str">
        <f t="shared" si="14"/>
        <v/>
      </c>
    </row>
    <row r="123" spans="1:23">
      <c r="A123" s="13" t="str">
        <f>IF(T123="YES",MAX($A$12:A122)+1,"")</f>
        <v/>
      </c>
      <c r="B123" s="20"/>
      <c r="C123" s="5" t="str">
        <f t="shared" si="15"/>
        <v>Buildings Category 3</v>
      </c>
      <c r="D123" s="5" t="s">
        <v>43</v>
      </c>
      <c r="E123" s="5" t="s">
        <v>55</v>
      </c>
      <c r="F123" s="152"/>
      <c r="G123" s="234"/>
      <c r="H123" s="232">
        <v>0.5</v>
      </c>
      <c r="I123" s="232">
        <v>0.05</v>
      </c>
      <c r="J123" s="232"/>
      <c r="K123" s="235">
        <v>500</v>
      </c>
      <c r="L123" s="78"/>
      <c r="M123" s="37">
        <f>F123*G123*H123*I123*Baseline!$F$25</f>
        <v>0</v>
      </c>
      <c r="N123" s="37">
        <f>F123*G123*H123*J123*Baseline!$G$25</f>
        <v>0</v>
      </c>
      <c r="O123" s="60">
        <f>(M123*References!$C$27+N123*References!$C$26)/1000</f>
        <v>0</v>
      </c>
      <c r="P123" s="38">
        <f t="shared" si="16"/>
        <v>0</v>
      </c>
      <c r="Q123" s="38">
        <f>(M123*References!$C$57+Opportunities!N123*References!$C$56)/100</f>
        <v>0</v>
      </c>
      <c r="R123" s="35">
        <f t="shared" si="17"/>
        <v>0</v>
      </c>
      <c r="S123" s="36">
        <f>O123/'Graphs&amp;Analysis'!$D$24</f>
        <v>0</v>
      </c>
      <c r="T123" s="153"/>
      <c r="U123" s="153"/>
      <c r="W123" s="13" t="str">
        <f t="shared" si="14"/>
        <v/>
      </c>
    </row>
    <row r="124" spans="1:23" ht="25.5">
      <c r="A124" s="13" t="str">
        <f>IF(T124="YES",MAX($A$12:A123)+1,"")</f>
        <v/>
      </c>
      <c r="B124" s="20"/>
      <c r="C124" s="5" t="str">
        <f t="shared" si="15"/>
        <v>Buildings Category 3</v>
      </c>
      <c r="D124" s="5" t="s">
        <v>43</v>
      </c>
      <c r="E124" s="5" t="s">
        <v>56</v>
      </c>
      <c r="F124" s="152"/>
      <c r="G124" s="234"/>
      <c r="H124" s="232">
        <v>1</v>
      </c>
      <c r="I124" s="232">
        <v>0.1</v>
      </c>
      <c r="J124" s="232">
        <v>0.15</v>
      </c>
      <c r="K124" s="235">
        <v>500</v>
      </c>
      <c r="L124" s="78"/>
      <c r="M124" s="37">
        <f>F124*G124*H124*I124*Baseline!$F$25</f>
        <v>0</v>
      </c>
      <c r="N124" s="37">
        <f>F124*G124*H124*J124*Baseline!$G$25</f>
        <v>0</v>
      </c>
      <c r="O124" s="60">
        <f>(M124*References!$C$27+N124*References!$C$26)/1000</f>
        <v>0</v>
      </c>
      <c r="P124" s="38">
        <f t="shared" si="16"/>
        <v>0</v>
      </c>
      <c r="Q124" s="38">
        <f>(M124*References!$C$57+Opportunities!N124*References!$C$56)/100</f>
        <v>0</v>
      </c>
      <c r="R124" s="35">
        <f t="shared" si="17"/>
        <v>0</v>
      </c>
      <c r="S124" s="36">
        <f>O124/'Graphs&amp;Analysis'!$D$24</f>
        <v>0</v>
      </c>
      <c r="T124" s="153"/>
      <c r="U124" s="153"/>
      <c r="W124" s="13" t="str">
        <f t="shared" si="14"/>
        <v/>
      </c>
    </row>
    <row r="125" spans="1:23">
      <c r="A125" s="13" t="str">
        <f>IF(T125="YES",MAX($A$12:A124)+1,"")</f>
        <v/>
      </c>
      <c r="B125" s="20"/>
      <c r="C125" s="5" t="str">
        <f t="shared" si="15"/>
        <v>Buildings Category 3</v>
      </c>
      <c r="D125" s="5" t="s">
        <v>43</v>
      </c>
      <c r="E125" s="5" t="s">
        <v>53</v>
      </c>
      <c r="F125" s="152"/>
      <c r="G125" s="234"/>
      <c r="H125" s="232">
        <v>1</v>
      </c>
      <c r="I125" s="232"/>
      <c r="J125" s="232">
        <v>0.4</v>
      </c>
      <c r="K125" s="235">
        <v>500</v>
      </c>
      <c r="L125" s="78"/>
      <c r="M125" s="37">
        <f>F125*G125*H125*I125*Baseline!$F$25</f>
        <v>0</v>
      </c>
      <c r="N125" s="37">
        <f>F125*G125*H125*J125*Baseline!$G$25</f>
        <v>0</v>
      </c>
      <c r="O125" s="60">
        <f>(M125*References!$C$27+N125*References!$C$26)/1000</f>
        <v>0</v>
      </c>
      <c r="P125" s="38">
        <f t="shared" si="16"/>
        <v>0</v>
      </c>
      <c r="Q125" s="38">
        <f>(M125*References!$C$57+Opportunities!N125*References!$C$56)/100</f>
        <v>0</v>
      </c>
      <c r="R125" s="35">
        <f t="shared" si="17"/>
        <v>0</v>
      </c>
      <c r="S125" s="36">
        <f>O125/'Graphs&amp;Analysis'!$D$24</f>
        <v>0</v>
      </c>
      <c r="T125" s="153"/>
      <c r="U125" s="153"/>
      <c r="W125" s="13" t="str">
        <f t="shared" si="14"/>
        <v/>
      </c>
    </row>
    <row r="126" spans="1:23" ht="25.5">
      <c r="A126" s="13" t="str">
        <f>IF(T126="YES",MAX($A$12:A125)+1,"")</f>
        <v/>
      </c>
      <c r="B126" s="20"/>
      <c r="C126" s="5" t="str">
        <f t="shared" si="15"/>
        <v>Buildings Category 3</v>
      </c>
      <c r="D126" s="5" t="s">
        <v>43</v>
      </c>
      <c r="E126" s="5" t="s">
        <v>54</v>
      </c>
      <c r="F126" s="152"/>
      <c r="G126" s="234"/>
      <c r="H126" s="232">
        <v>0.5</v>
      </c>
      <c r="I126" s="232">
        <v>0.2</v>
      </c>
      <c r="J126" s="232"/>
      <c r="K126" s="235">
        <v>500</v>
      </c>
      <c r="L126" s="78"/>
      <c r="M126" s="37">
        <f>F126*G126*H126*I126*Baseline!$F$25</f>
        <v>0</v>
      </c>
      <c r="N126" s="37">
        <f>F126*G126*H126*J126*Baseline!$G$25</f>
        <v>0</v>
      </c>
      <c r="O126" s="60">
        <f>(M126*References!$C$27+N126*References!$C$26)/1000</f>
        <v>0</v>
      </c>
      <c r="P126" s="38">
        <f t="shared" si="16"/>
        <v>0</v>
      </c>
      <c r="Q126" s="38">
        <f>(M126*References!$C$57+Opportunities!N126*References!$C$56)/100</f>
        <v>0</v>
      </c>
      <c r="R126" s="35">
        <f t="shared" si="17"/>
        <v>0</v>
      </c>
      <c r="S126" s="36">
        <f>O126/'Graphs&amp;Analysis'!$D$24</f>
        <v>0</v>
      </c>
      <c r="T126" s="153"/>
      <c r="U126" s="153"/>
      <c r="W126" s="13" t="str">
        <f t="shared" si="14"/>
        <v/>
      </c>
    </row>
    <row r="127" spans="1:23">
      <c r="A127" s="13" t="str">
        <f>IF(T127="YES",MAX($A$12:A126)+1,"")</f>
        <v/>
      </c>
      <c r="B127" s="20"/>
      <c r="C127" s="5" t="str">
        <f t="shared" si="15"/>
        <v>Buildings Category 3</v>
      </c>
      <c r="D127" s="5" t="s">
        <v>43</v>
      </c>
      <c r="E127" s="5" t="s">
        <v>45</v>
      </c>
      <c r="F127" s="152"/>
      <c r="G127" s="234"/>
      <c r="H127" s="232">
        <v>1</v>
      </c>
      <c r="I127" s="232"/>
      <c r="J127" s="232">
        <v>0.1</v>
      </c>
      <c r="K127" s="235">
        <v>503</v>
      </c>
      <c r="L127" s="78"/>
      <c r="M127" s="37">
        <f>F127*G127*H127*I127*Baseline!$F$25</f>
        <v>0</v>
      </c>
      <c r="N127" s="37">
        <f>F127*G127*H127*J127*Baseline!$G$25</f>
        <v>0</v>
      </c>
      <c r="O127" s="60">
        <f>(M127*References!$C$27+N127*References!$C$26)/1000</f>
        <v>0</v>
      </c>
      <c r="P127" s="38">
        <f t="shared" si="16"/>
        <v>0</v>
      </c>
      <c r="Q127" s="38">
        <f>(M127*References!$C$57+Opportunities!N127*References!$C$56)/100</f>
        <v>0</v>
      </c>
      <c r="R127" s="35">
        <f t="shared" si="17"/>
        <v>0</v>
      </c>
      <c r="S127" s="36">
        <f>O127/'Graphs&amp;Analysis'!$D$24</f>
        <v>0</v>
      </c>
      <c r="T127" s="153"/>
      <c r="U127" s="153"/>
      <c r="W127" s="13" t="str">
        <f t="shared" si="14"/>
        <v/>
      </c>
    </row>
    <row r="128" spans="1:23" ht="25.5">
      <c r="A128" s="13" t="str">
        <f>IF(T128="YES",MAX($A$12:A127)+1,"")</f>
        <v/>
      </c>
      <c r="B128" s="20"/>
      <c r="C128" s="5" t="str">
        <f t="shared" si="15"/>
        <v>Buildings Category 3</v>
      </c>
      <c r="D128" s="5" t="s">
        <v>41</v>
      </c>
      <c r="E128" s="5" t="s">
        <v>42</v>
      </c>
      <c r="F128" s="152"/>
      <c r="G128" s="234"/>
      <c r="H128" s="232">
        <v>0.15</v>
      </c>
      <c r="I128" s="232"/>
      <c r="J128" s="232">
        <v>0.35</v>
      </c>
      <c r="K128" s="235">
        <v>458</v>
      </c>
      <c r="L128" s="78"/>
      <c r="M128" s="37">
        <f>F128*G128*H128*I128*Baseline!$F$25</f>
        <v>0</v>
      </c>
      <c r="N128" s="37">
        <f>F128*G128*H128*J128*Baseline!$G$25</f>
        <v>0</v>
      </c>
      <c r="O128" s="60">
        <f>(M128*References!$C$27+N128*References!$C$26)/1000</f>
        <v>0</v>
      </c>
      <c r="P128" s="38">
        <f t="shared" si="16"/>
        <v>0</v>
      </c>
      <c r="Q128" s="38">
        <f>(M128*References!$C$57+Opportunities!N128*References!$C$56)/100</f>
        <v>0</v>
      </c>
      <c r="R128" s="35">
        <f t="shared" si="17"/>
        <v>0</v>
      </c>
      <c r="S128" s="36">
        <f>O128/'Graphs&amp;Analysis'!$D$24</f>
        <v>0</v>
      </c>
      <c r="T128" s="153"/>
      <c r="U128" s="153"/>
      <c r="W128" s="13" t="str">
        <f t="shared" si="14"/>
        <v/>
      </c>
    </row>
    <row r="129" spans="1:23" ht="38.25">
      <c r="A129" s="13" t="str">
        <f>IF(T129="YES",MAX($A$12:A128)+1,"")</f>
        <v/>
      </c>
      <c r="B129" s="20"/>
      <c r="C129" s="5" t="str">
        <f t="shared" si="15"/>
        <v>Buildings Category 3</v>
      </c>
      <c r="D129" s="5" t="s">
        <v>220</v>
      </c>
      <c r="E129" s="222" t="s">
        <v>221</v>
      </c>
      <c r="F129" s="152"/>
      <c r="G129" s="234"/>
      <c r="H129" s="233">
        <v>1</v>
      </c>
      <c r="I129" s="233">
        <v>0.01</v>
      </c>
      <c r="J129" s="231"/>
      <c r="K129" s="235">
        <v>121</v>
      </c>
      <c r="L129" s="78"/>
      <c r="M129" s="37">
        <f>F129*G129*H129*I129*Baseline!$F$25</f>
        <v>0</v>
      </c>
      <c r="N129" s="37">
        <f>F129*G129*H129*J129*Baseline!$G$25</f>
        <v>0</v>
      </c>
      <c r="O129" s="60">
        <f>(M129*References!$C$27+N129*References!$C$26)/1000</f>
        <v>0</v>
      </c>
      <c r="P129" s="38">
        <f t="shared" si="16"/>
        <v>0</v>
      </c>
      <c r="Q129" s="38">
        <f>(M129*References!$C$57+Opportunities!N129*References!$C$56)/100</f>
        <v>0</v>
      </c>
      <c r="R129" s="35">
        <f t="shared" si="17"/>
        <v>0</v>
      </c>
      <c r="S129" s="36">
        <f>O129/'Graphs&amp;Analysis'!$D$24</f>
        <v>0</v>
      </c>
      <c r="T129" s="153"/>
      <c r="U129" s="153"/>
      <c r="W129" s="13" t="str">
        <f t="shared" si="14"/>
        <v/>
      </c>
    </row>
    <row r="130" spans="1:23" ht="30">
      <c r="A130" s="13" t="str">
        <f>IF(T130="YES",MAX($A$12:A129)+1,"")</f>
        <v/>
      </c>
      <c r="B130" s="20"/>
      <c r="C130" s="5" t="str">
        <f t="shared" si="15"/>
        <v>Buildings Category 3</v>
      </c>
      <c r="D130" s="5" t="s">
        <v>220</v>
      </c>
      <c r="E130" s="223" t="s">
        <v>222</v>
      </c>
      <c r="F130" s="152"/>
      <c r="G130" s="234"/>
      <c r="H130" s="233">
        <v>1</v>
      </c>
      <c r="I130" s="233">
        <v>7.0000000000000007E-2</v>
      </c>
      <c r="J130" s="231"/>
      <c r="K130" s="235">
        <v>500</v>
      </c>
      <c r="L130" s="78"/>
      <c r="M130" s="37">
        <f>F130*G130*H130*I130*Baseline!$F$25</f>
        <v>0</v>
      </c>
      <c r="N130" s="37">
        <f>F130*G130*H130*J130*Baseline!$G$25</f>
        <v>0</v>
      </c>
      <c r="O130" s="60">
        <f>(M130*References!$C$27+N130*References!$C$26)/1000</f>
        <v>0</v>
      </c>
      <c r="P130" s="38">
        <f t="shared" si="16"/>
        <v>0</v>
      </c>
      <c r="Q130" s="38">
        <f>(M130*References!$C$57+Opportunities!N130*References!$C$56)/100</f>
        <v>0</v>
      </c>
      <c r="R130" s="35">
        <f t="shared" si="17"/>
        <v>0</v>
      </c>
      <c r="S130" s="36">
        <f>O130/'Graphs&amp;Analysis'!$D$24</f>
        <v>0</v>
      </c>
      <c r="T130" s="153"/>
      <c r="U130" s="153"/>
      <c r="W130" s="13" t="str">
        <f t="shared" si="14"/>
        <v/>
      </c>
    </row>
    <row r="131" spans="1:23" ht="25.5">
      <c r="A131" s="13" t="str">
        <f>IF(T131="YES",MAX($A$12:A130)+1,"")</f>
        <v/>
      </c>
      <c r="B131" s="20"/>
      <c r="C131" s="5" t="str">
        <f t="shared" si="15"/>
        <v>Buildings Category 3</v>
      </c>
      <c r="D131" s="5" t="s">
        <v>220</v>
      </c>
      <c r="E131" s="224" t="s">
        <v>223</v>
      </c>
      <c r="F131" s="152"/>
      <c r="G131" s="234"/>
      <c r="H131" s="233">
        <v>1</v>
      </c>
      <c r="I131" s="233">
        <v>0.02</v>
      </c>
      <c r="J131" s="231"/>
      <c r="K131" s="235">
        <v>153</v>
      </c>
      <c r="L131" s="78"/>
      <c r="M131" s="37">
        <f>F131*G131*H131*I131*Baseline!$F$25</f>
        <v>0</v>
      </c>
      <c r="N131" s="37">
        <f>F131*G131*H131*J131*Baseline!$G$25</f>
        <v>0</v>
      </c>
      <c r="O131" s="60">
        <f>(M131*References!$C$27+N131*References!$C$26)/1000</f>
        <v>0</v>
      </c>
      <c r="P131" s="38">
        <f t="shared" si="16"/>
        <v>0</v>
      </c>
      <c r="Q131" s="38">
        <f>(M131*References!$C$57+Opportunities!N131*References!$C$56)/100</f>
        <v>0</v>
      </c>
      <c r="R131" s="35">
        <f t="shared" si="17"/>
        <v>0</v>
      </c>
      <c r="S131" s="36">
        <f>O131/'Graphs&amp;Analysis'!$D$24</f>
        <v>0</v>
      </c>
      <c r="T131" s="153"/>
      <c r="U131" s="153"/>
      <c r="W131" s="13" t="str">
        <f t="shared" si="14"/>
        <v/>
      </c>
    </row>
    <row r="132" spans="1:23">
      <c r="A132" s="13" t="str">
        <f>IF(T132="YES",MAX($A$12:A131)+1,"")</f>
        <v/>
      </c>
      <c r="B132" s="20"/>
      <c r="C132" s="5" t="str">
        <f t="shared" si="15"/>
        <v>Buildings Category 3</v>
      </c>
      <c r="D132" s="5" t="s">
        <v>52</v>
      </c>
      <c r="E132" s="5"/>
      <c r="F132" s="152"/>
      <c r="G132" s="234"/>
      <c r="H132" s="8"/>
      <c r="I132" s="8"/>
      <c r="J132" s="8"/>
      <c r="K132" s="29">
        <v>500</v>
      </c>
      <c r="L132" s="78"/>
      <c r="M132" s="37">
        <f>F132*G132*H132*I132*Baseline!$F$25</f>
        <v>0</v>
      </c>
      <c r="N132" s="37">
        <f>F132*G132*H132*J132*Baseline!$G$25</f>
        <v>0</v>
      </c>
      <c r="O132" s="60">
        <f>(M132*References!$C$27+N132*References!$C$26)/1000</f>
        <v>0</v>
      </c>
      <c r="P132" s="38">
        <f t="shared" si="12"/>
        <v>0</v>
      </c>
      <c r="Q132" s="38">
        <f>(M132*References!$C$57+Opportunities!N132*References!$C$56)/100</f>
        <v>0</v>
      </c>
      <c r="R132" s="35">
        <f t="shared" si="13"/>
        <v>0</v>
      </c>
      <c r="S132" s="36">
        <f>O132/'Graphs&amp;Analysis'!$D$24</f>
        <v>0</v>
      </c>
      <c r="T132" s="153"/>
      <c r="U132" s="153"/>
      <c r="W132" s="13" t="str">
        <f t="shared" si="14"/>
        <v/>
      </c>
    </row>
    <row r="133" spans="1:23">
      <c r="A133" s="13" t="str">
        <f>IF(T133="YES",MAX($A$12:A132)+1,"")</f>
        <v/>
      </c>
      <c r="B133" s="20"/>
      <c r="C133" s="5" t="str">
        <f t="shared" si="15"/>
        <v>Buildings Category 3</v>
      </c>
      <c r="D133" s="5" t="s">
        <v>52</v>
      </c>
      <c r="E133" s="5"/>
      <c r="F133" s="152"/>
      <c r="G133" s="234"/>
      <c r="H133" s="8"/>
      <c r="I133" s="8"/>
      <c r="J133" s="8"/>
      <c r="K133" s="29">
        <v>500</v>
      </c>
      <c r="L133" s="78"/>
      <c r="M133" s="37">
        <f>F133*G133*H133*I133*Baseline!$F$25</f>
        <v>0</v>
      </c>
      <c r="N133" s="37">
        <f>F133*G133*H133*J133*Baseline!$G$25</f>
        <v>0</v>
      </c>
      <c r="O133" s="60">
        <f>(M133*References!$C$27+N133*References!$C$26)/1000</f>
        <v>0</v>
      </c>
      <c r="P133" s="38">
        <f t="shared" si="12"/>
        <v>0</v>
      </c>
      <c r="Q133" s="38">
        <f>(M133*References!$C$57+Opportunities!N133*References!$C$56)/100</f>
        <v>0</v>
      </c>
      <c r="R133" s="35">
        <f t="shared" si="13"/>
        <v>0</v>
      </c>
      <c r="S133" s="36">
        <f>O133/'Graphs&amp;Analysis'!$D$24</f>
        <v>0</v>
      </c>
      <c r="T133" s="153"/>
      <c r="U133" s="153"/>
      <c r="W133" s="13" t="str">
        <f t="shared" si="14"/>
        <v/>
      </c>
    </row>
    <row r="134" spans="1:23">
      <c r="A134" s="13" t="str">
        <f>IF(T134="YES",MAX($A$12:A133)+1,"")</f>
        <v/>
      </c>
      <c r="B134" s="20"/>
      <c r="C134" s="5" t="str">
        <f t="shared" si="15"/>
        <v>Buildings Category 3</v>
      </c>
      <c r="D134" s="5" t="s">
        <v>52</v>
      </c>
      <c r="E134" s="5"/>
      <c r="F134" s="152"/>
      <c r="G134" s="234"/>
      <c r="H134" s="8"/>
      <c r="I134" s="8"/>
      <c r="J134" s="8"/>
      <c r="K134" s="29">
        <v>500</v>
      </c>
      <c r="L134" s="78"/>
      <c r="M134" s="37">
        <f>F134*G134*H134*I134*Baseline!$F$25</f>
        <v>0</v>
      </c>
      <c r="N134" s="37">
        <f>F134*G134*H134*J134*Baseline!$G$25</f>
        <v>0</v>
      </c>
      <c r="O134" s="60">
        <f>(M134*References!$C$27+N134*References!$C$26)/1000</f>
        <v>0</v>
      </c>
      <c r="P134" s="38">
        <f t="shared" si="12"/>
        <v>0</v>
      </c>
      <c r="Q134" s="38">
        <f>(M134*References!$C$57+Opportunities!N134*References!$C$56)/100</f>
        <v>0</v>
      </c>
      <c r="R134" s="35">
        <f t="shared" si="13"/>
        <v>0</v>
      </c>
      <c r="S134" s="36">
        <f>O134/'Graphs&amp;Analysis'!$D$24</f>
        <v>0</v>
      </c>
      <c r="T134" s="153"/>
      <c r="U134" s="153"/>
      <c r="W134" s="13" t="str">
        <f t="shared" si="14"/>
        <v/>
      </c>
    </row>
    <row r="135" spans="1:23">
      <c r="A135" s="13" t="str">
        <f>IF(T135="YES",MAX($A$12:A134)+1,"")</f>
        <v/>
      </c>
      <c r="C135" s="23"/>
      <c r="D135" s="23"/>
      <c r="E135" s="79"/>
      <c r="F135" s="23"/>
      <c r="G135" s="79"/>
      <c r="H135" s="79"/>
      <c r="I135" s="74"/>
      <c r="J135" s="23"/>
      <c r="K135" s="23"/>
      <c r="M135" s="23"/>
      <c r="N135" s="23"/>
      <c r="O135" s="23"/>
      <c r="P135" s="23"/>
      <c r="Q135" s="23"/>
      <c r="R135" s="23"/>
      <c r="S135" s="23"/>
      <c r="T135" s="23"/>
      <c r="U135" s="23"/>
    </row>
    <row r="136" spans="1:23">
      <c r="A136" s="13" t="str">
        <f>IF(T136="YES",MAX($A$12:A135)+1,"")</f>
        <v/>
      </c>
      <c r="B136" s="252" t="s">
        <v>128</v>
      </c>
      <c r="C136" s="252"/>
      <c r="G136" s="16"/>
      <c r="H136" s="16"/>
      <c r="I136" s="67"/>
      <c r="K136" s="68" t="s">
        <v>3</v>
      </c>
      <c r="L136" s="68"/>
      <c r="M136" s="69">
        <f>SUM(M99:M135)</f>
        <v>0</v>
      </c>
      <c r="N136" s="69">
        <f>SUM(N99:N135)</f>
        <v>0</v>
      </c>
      <c r="O136" s="69">
        <f>SUM(O99:O135)</f>
        <v>0</v>
      </c>
    </row>
    <row r="137" spans="1:23">
      <c r="A137" s="13" t="str">
        <f>IF(T137="YES",MAX($A$12:A136)+1,"")</f>
        <v/>
      </c>
      <c r="G137" s="16"/>
      <c r="H137" s="16"/>
      <c r="I137" s="67"/>
      <c r="K137" s="68" t="str">
        <f>CONCATENATE("Savings as a % of  ",C99," emissions")</f>
        <v>Savings as a % of  Buildings Category 3 emissions</v>
      </c>
      <c r="L137" s="68"/>
      <c r="M137" s="62">
        <f>M136/Baseline!F25</f>
        <v>0</v>
      </c>
      <c r="N137" s="62">
        <f>N136/Baseline!G25</f>
        <v>0</v>
      </c>
      <c r="O137" s="62">
        <f>O136/Baseline!H25</f>
        <v>0</v>
      </c>
    </row>
    <row r="138" spans="1:23">
      <c r="A138" s="13" t="str">
        <f>IF(T138="YES",MAX($A$12:A137)+1,"")</f>
        <v/>
      </c>
    </row>
    <row r="139" spans="1:23">
      <c r="A139" s="13" t="str">
        <f>IF(T139="YES",MAX($A$12:A138)+1,"")</f>
        <v/>
      </c>
    </row>
    <row r="140" spans="1:23">
      <c r="A140" s="13" t="str">
        <f>IF(T140="YES",MAX($A$12:A139)+1,"")</f>
        <v/>
      </c>
      <c r="B140" s="66" t="s">
        <v>192</v>
      </c>
      <c r="C140" s="73"/>
      <c r="D140" s="22"/>
      <c r="E140" s="237"/>
      <c r="F140" s="22"/>
      <c r="G140" s="22"/>
      <c r="H140" s="22"/>
      <c r="I140" s="22"/>
      <c r="J140" s="22"/>
      <c r="K140" s="22"/>
      <c r="M140" s="22"/>
      <c r="N140" s="22"/>
      <c r="O140" s="22"/>
      <c r="P140" s="22"/>
      <c r="Q140" s="22"/>
      <c r="R140" s="22"/>
      <c r="S140" s="22"/>
      <c r="T140" s="22"/>
      <c r="U140" s="22"/>
    </row>
    <row r="141" spans="1:23" ht="51">
      <c r="B141" s="20"/>
      <c r="C141" s="1" t="s">
        <v>151</v>
      </c>
      <c r="D141" s="1" t="s">
        <v>5</v>
      </c>
      <c r="E141" s="1" t="s">
        <v>6</v>
      </c>
      <c r="F141" s="1" t="s">
        <v>7</v>
      </c>
      <c r="G141" s="1" t="s">
        <v>8</v>
      </c>
      <c r="H141" s="1" t="s">
        <v>9</v>
      </c>
      <c r="I141" s="1" t="s">
        <v>10</v>
      </c>
      <c r="J141" s="1" t="s">
        <v>11</v>
      </c>
      <c r="K141" s="1" t="s">
        <v>109</v>
      </c>
      <c r="L141" s="75"/>
      <c r="M141" s="1" t="s">
        <v>12</v>
      </c>
      <c r="N141" s="1" t="s">
        <v>13</v>
      </c>
      <c r="O141" s="1" t="s">
        <v>14</v>
      </c>
      <c r="P141" s="1" t="s">
        <v>108</v>
      </c>
      <c r="Q141" s="1" t="s">
        <v>111</v>
      </c>
      <c r="R141" s="1" t="s">
        <v>150</v>
      </c>
      <c r="S141" s="1" t="s">
        <v>77</v>
      </c>
      <c r="T141" s="1" t="s">
        <v>110</v>
      </c>
      <c r="U141" s="1" t="s">
        <v>160</v>
      </c>
    </row>
    <row r="142" spans="1:23">
      <c r="B142" s="20"/>
      <c r="C142" s="5" t="str">
        <f>Baseline!C43</f>
        <v>Buildings Category 4</v>
      </c>
      <c r="D142" s="5" t="s">
        <v>15</v>
      </c>
      <c r="E142" s="5" t="s">
        <v>16</v>
      </c>
      <c r="F142" s="152"/>
      <c r="G142" s="234"/>
      <c r="H142" s="233">
        <v>2.9411764705882346E-2</v>
      </c>
      <c r="I142" s="231"/>
      <c r="J142" s="233">
        <v>0.05</v>
      </c>
      <c r="K142" s="235">
        <v>500</v>
      </c>
      <c r="L142" s="78"/>
      <c r="M142" s="37">
        <f>F142*G142*H142*I142*Baseline!$F$26</f>
        <v>0</v>
      </c>
      <c r="N142" s="37">
        <f>F142*G142*H142*J142*Baseline!$G$26</f>
        <v>0</v>
      </c>
      <c r="O142" s="60">
        <f>(M142*References!$C$27+N142*References!$C$26)/1000</f>
        <v>0</v>
      </c>
      <c r="P142" s="38">
        <f t="shared" ref="P142:P164" si="18">O142*K142</f>
        <v>0</v>
      </c>
      <c r="Q142" s="38">
        <f>(M142*References!$C$57+Opportunities!N142*References!$C$56)/100</f>
        <v>0</v>
      </c>
      <c r="R142" s="35">
        <f t="shared" ref="R142:R164" si="19">IF(ISERROR(P142/Q142),0,P142/Q142)</f>
        <v>0</v>
      </c>
      <c r="S142" s="36">
        <f>O142/'Graphs&amp;Analysis'!$D$24</f>
        <v>0</v>
      </c>
      <c r="T142" s="153"/>
      <c r="U142" s="153"/>
      <c r="W142" s="13" t="str">
        <f t="shared" ref="W142:W178" si="20">IF(O142&gt;0,"Buildings","")</f>
        <v/>
      </c>
    </row>
    <row r="143" spans="1:23" ht="25.5">
      <c r="B143" s="20"/>
      <c r="C143" s="5" t="str">
        <f>C142</f>
        <v>Buildings Category 4</v>
      </c>
      <c r="D143" s="5" t="s">
        <v>17</v>
      </c>
      <c r="E143" s="5" t="s">
        <v>18</v>
      </c>
      <c r="F143" s="152"/>
      <c r="G143" s="234"/>
      <c r="H143" s="233">
        <v>2.9411764705882346E-2</v>
      </c>
      <c r="I143" s="231"/>
      <c r="J143" s="233">
        <v>0.05</v>
      </c>
      <c r="K143" s="235">
        <v>500</v>
      </c>
      <c r="L143" s="77"/>
      <c r="M143" s="37">
        <f>F143*G143*H143*I143*Baseline!$F$26</f>
        <v>0</v>
      </c>
      <c r="N143" s="37">
        <f>F143*G143*H143*J143*Baseline!$G$26</f>
        <v>0</v>
      </c>
      <c r="O143" s="60">
        <f>(M143*References!$C$27+N143*References!$C$26)/1000</f>
        <v>0</v>
      </c>
      <c r="P143" s="38">
        <f t="shared" si="18"/>
        <v>0</v>
      </c>
      <c r="Q143" s="38">
        <f>(M143*References!$C$57+Opportunities!N143*References!$C$56)/100</f>
        <v>0</v>
      </c>
      <c r="R143" s="35">
        <f t="shared" si="19"/>
        <v>0</v>
      </c>
      <c r="S143" s="36">
        <f>O143/'Graphs&amp;Analysis'!$D$24</f>
        <v>0</v>
      </c>
      <c r="T143" s="153"/>
      <c r="U143" s="153"/>
      <c r="W143" s="13" t="str">
        <f t="shared" si="20"/>
        <v/>
      </c>
    </row>
    <row r="144" spans="1:23">
      <c r="B144" s="20"/>
      <c r="C144" s="5" t="str">
        <f t="shared" ref="C144:C177" si="21">C143</f>
        <v>Buildings Category 4</v>
      </c>
      <c r="D144" s="5" t="s">
        <v>24</v>
      </c>
      <c r="E144" s="5" t="s">
        <v>24</v>
      </c>
      <c r="F144" s="152"/>
      <c r="G144" s="234"/>
      <c r="H144" s="233">
        <v>0.5</v>
      </c>
      <c r="I144" s="233">
        <v>0.05</v>
      </c>
      <c r="J144" s="233">
        <v>0.02</v>
      </c>
      <c r="K144" s="235">
        <v>470</v>
      </c>
      <c r="L144" s="77"/>
      <c r="M144" s="37">
        <f>F144*G144*H144*I144*Baseline!$F$26</f>
        <v>0</v>
      </c>
      <c r="N144" s="37">
        <f>F144*G144*H144*J144*Baseline!$G$26</f>
        <v>0</v>
      </c>
      <c r="O144" s="60">
        <f>(M144*References!$C$27+N144*References!$C$26)/1000</f>
        <v>0</v>
      </c>
      <c r="P144" s="38">
        <f t="shared" si="18"/>
        <v>0</v>
      </c>
      <c r="Q144" s="38">
        <f>(M144*References!$C$57+Opportunities!N144*References!$C$56)/100</f>
        <v>0</v>
      </c>
      <c r="R144" s="35">
        <f t="shared" si="19"/>
        <v>0</v>
      </c>
      <c r="S144" s="36">
        <f>O144/'Graphs&amp;Analysis'!$D$24</f>
        <v>0</v>
      </c>
      <c r="T144" s="153"/>
      <c r="U144" s="153"/>
      <c r="W144" s="13" t="str">
        <f t="shared" si="20"/>
        <v/>
      </c>
    </row>
    <row r="145" spans="2:23">
      <c r="B145" s="20"/>
      <c r="C145" s="5" t="str">
        <f t="shared" si="21"/>
        <v>Buildings Category 4</v>
      </c>
      <c r="D145" s="5" t="s">
        <v>25</v>
      </c>
      <c r="E145" s="5" t="s">
        <v>26</v>
      </c>
      <c r="F145" s="152"/>
      <c r="G145" s="234"/>
      <c r="H145" s="233">
        <v>0.5</v>
      </c>
      <c r="I145" s="233">
        <v>0.05</v>
      </c>
      <c r="J145" s="233">
        <v>0.02</v>
      </c>
      <c r="K145" s="235">
        <v>427</v>
      </c>
      <c r="L145" s="77"/>
      <c r="M145" s="37">
        <f>F145*G145*H145*I145*Baseline!$F$26</f>
        <v>0</v>
      </c>
      <c r="N145" s="37">
        <f>F145*G145*H145*J145*Baseline!$G$26</f>
        <v>0</v>
      </c>
      <c r="O145" s="60">
        <f>(M145*References!$C$27+N145*References!$C$26)/1000</f>
        <v>0</v>
      </c>
      <c r="P145" s="38">
        <f t="shared" si="18"/>
        <v>0</v>
      </c>
      <c r="Q145" s="38">
        <f>(M145*References!$C$57+Opportunities!N145*References!$C$56)/100</f>
        <v>0</v>
      </c>
      <c r="R145" s="35">
        <f t="shared" si="19"/>
        <v>0</v>
      </c>
      <c r="S145" s="36">
        <f>O145/'Graphs&amp;Analysis'!$D$24</f>
        <v>0</v>
      </c>
      <c r="T145" s="153"/>
      <c r="U145" s="153"/>
      <c r="W145" s="13" t="str">
        <f t="shared" si="20"/>
        <v/>
      </c>
    </row>
    <row r="146" spans="2:23">
      <c r="B146" s="20"/>
      <c r="C146" s="5" t="str">
        <f t="shared" si="21"/>
        <v>Buildings Category 4</v>
      </c>
      <c r="D146" s="5" t="s">
        <v>19</v>
      </c>
      <c r="E146" s="5" t="s">
        <v>22</v>
      </c>
      <c r="F146" s="152"/>
      <c r="G146" s="234"/>
      <c r="H146" s="233">
        <v>0.93939393939393934</v>
      </c>
      <c r="I146" s="232">
        <v>0.05</v>
      </c>
      <c r="J146" s="231"/>
      <c r="K146" s="235">
        <v>628</v>
      </c>
      <c r="L146" s="77"/>
      <c r="M146" s="37">
        <f>F146*G146*H146*I146*Baseline!$F$26</f>
        <v>0</v>
      </c>
      <c r="N146" s="37">
        <f>F146*G146*H146*J146*Baseline!$G$26</f>
        <v>0</v>
      </c>
      <c r="O146" s="60">
        <f>(M146*References!$C$27+N146*References!$C$26)/1000</f>
        <v>0</v>
      </c>
      <c r="P146" s="38">
        <f t="shared" si="18"/>
        <v>0</v>
      </c>
      <c r="Q146" s="38">
        <f>(M146*References!$C$57+Opportunities!N146*References!$C$56)/100</f>
        <v>0</v>
      </c>
      <c r="R146" s="35">
        <f t="shared" si="19"/>
        <v>0</v>
      </c>
      <c r="S146" s="36">
        <f>O146/'Graphs&amp;Analysis'!$D$24</f>
        <v>0</v>
      </c>
      <c r="T146" s="153"/>
      <c r="U146" s="153"/>
      <c r="W146" s="13" t="str">
        <f t="shared" si="20"/>
        <v/>
      </c>
    </row>
    <row r="147" spans="2:23">
      <c r="B147" s="20"/>
      <c r="C147" s="5" t="str">
        <f t="shared" si="21"/>
        <v>Buildings Category 4</v>
      </c>
      <c r="D147" s="5" t="s">
        <v>19</v>
      </c>
      <c r="E147" s="5" t="s">
        <v>23</v>
      </c>
      <c r="F147" s="152"/>
      <c r="G147" s="234"/>
      <c r="H147" s="233">
        <v>0.93939393939393934</v>
      </c>
      <c r="I147" s="232">
        <v>0.1</v>
      </c>
      <c r="J147" s="231"/>
      <c r="K147" s="235">
        <v>574</v>
      </c>
      <c r="L147" s="77"/>
      <c r="M147" s="37">
        <f>F147*G147*H147*I147*Baseline!$F$26</f>
        <v>0</v>
      </c>
      <c r="N147" s="37">
        <f>F147*G147*H147*J147*Baseline!$G$26</f>
        <v>0</v>
      </c>
      <c r="O147" s="60">
        <f>(M147*References!$C$27+N147*References!$C$26)/1000</f>
        <v>0</v>
      </c>
      <c r="P147" s="38">
        <f t="shared" si="18"/>
        <v>0</v>
      </c>
      <c r="Q147" s="38">
        <f>(M147*References!$C$57+Opportunities!N147*References!$C$56)/100</f>
        <v>0</v>
      </c>
      <c r="R147" s="35">
        <f t="shared" si="19"/>
        <v>0</v>
      </c>
      <c r="S147" s="36">
        <f>O147/'Graphs&amp;Analysis'!$D$24</f>
        <v>0</v>
      </c>
      <c r="T147" s="153"/>
      <c r="U147" s="153"/>
      <c r="W147" s="13" t="str">
        <f t="shared" si="20"/>
        <v/>
      </c>
    </row>
    <row r="148" spans="2:23">
      <c r="B148" s="20"/>
      <c r="C148" s="5" t="str">
        <f t="shared" si="21"/>
        <v>Buildings Category 4</v>
      </c>
      <c r="D148" s="5" t="s">
        <v>19</v>
      </c>
      <c r="E148" s="5" t="s">
        <v>21</v>
      </c>
      <c r="F148" s="152"/>
      <c r="G148" s="234"/>
      <c r="H148" s="233">
        <v>0.93939393939393934</v>
      </c>
      <c r="I148" s="232">
        <v>0.05</v>
      </c>
      <c r="J148" s="231"/>
      <c r="K148" s="235">
        <v>566</v>
      </c>
      <c r="L148" s="77"/>
      <c r="M148" s="37">
        <f>F148*G148*H148*I148*Baseline!$F$26</f>
        <v>0</v>
      </c>
      <c r="N148" s="37">
        <f>F148*G148*H148*J148*Baseline!$G$26</f>
        <v>0</v>
      </c>
      <c r="O148" s="60">
        <f>(M148*References!$C$27+N148*References!$C$26)/1000</f>
        <v>0</v>
      </c>
      <c r="P148" s="38">
        <f t="shared" si="18"/>
        <v>0</v>
      </c>
      <c r="Q148" s="38">
        <f>(M148*References!$C$57+Opportunities!N148*References!$C$56)/100</f>
        <v>0</v>
      </c>
      <c r="R148" s="35">
        <f t="shared" si="19"/>
        <v>0</v>
      </c>
      <c r="S148" s="36">
        <f>O148/'Graphs&amp;Analysis'!$D$24</f>
        <v>0</v>
      </c>
      <c r="T148" s="153"/>
      <c r="U148" s="153"/>
      <c r="W148" s="13" t="str">
        <f t="shared" si="20"/>
        <v/>
      </c>
    </row>
    <row r="149" spans="2:23">
      <c r="B149" s="20"/>
      <c r="C149" s="5" t="str">
        <f t="shared" si="21"/>
        <v>Buildings Category 4</v>
      </c>
      <c r="D149" s="5" t="s">
        <v>19</v>
      </c>
      <c r="E149" s="5" t="s">
        <v>20</v>
      </c>
      <c r="F149" s="152"/>
      <c r="G149" s="234"/>
      <c r="H149" s="233">
        <v>0.93939393939393934</v>
      </c>
      <c r="I149" s="232">
        <v>0.1</v>
      </c>
      <c r="J149" s="231"/>
      <c r="K149" s="235">
        <v>750</v>
      </c>
      <c r="L149" s="77"/>
      <c r="M149" s="37">
        <f>F149*G149*H149*I149*Baseline!$F$26</f>
        <v>0</v>
      </c>
      <c r="N149" s="37">
        <f>F149*G149*H149*J149*Baseline!$G$26</f>
        <v>0</v>
      </c>
      <c r="O149" s="60">
        <f>(M149*References!$C$27+N149*References!$C$26)/1000</f>
        <v>0</v>
      </c>
      <c r="P149" s="38">
        <f t="shared" si="18"/>
        <v>0</v>
      </c>
      <c r="Q149" s="38">
        <f>(M149*References!$C$57+Opportunities!N149*References!$C$56)/100</f>
        <v>0</v>
      </c>
      <c r="R149" s="35">
        <f t="shared" si="19"/>
        <v>0</v>
      </c>
      <c r="S149" s="36">
        <f>O149/'Graphs&amp;Analysis'!$D$24</f>
        <v>0</v>
      </c>
      <c r="T149" s="153"/>
      <c r="U149" s="153"/>
      <c r="W149" s="13" t="str">
        <f t="shared" si="20"/>
        <v/>
      </c>
    </row>
    <row r="150" spans="2:23" ht="25.5">
      <c r="B150" s="20"/>
      <c r="C150" s="5" t="str">
        <f t="shared" si="21"/>
        <v>Buildings Category 4</v>
      </c>
      <c r="D150" s="5" t="s">
        <v>29</v>
      </c>
      <c r="E150" s="5" t="s">
        <v>30</v>
      </c>
      <c r="F150" s="152"/>
      <c r="G150" s="234"/>
      <c r="H150" s="233">
        <v>0.93939393939393934</v>
      </c>
      <c r="I150" s="232">
        <v>0.15</v>
      </c>
      <c r="J150" s="231"/>
      <c r="K150" s="235">
        <v>641</v>
      </c>
      <c r="L150" s="77"/>
      <c r="M150" s="37">
        <f>F150*G150*H150*I150*Baseline!$F$26</f>
        <v>0</v>
      </c>
      <c r="N150" s="37">
        <f>F150*G150*H150*J150*Baseline!$G$26</f>
        <v>0</v>
      </c>
      <c r="O150" s="60">
        <f>(M150*References!$C$27+N150*References!$C$26)/1000</f>
        <v>0</v>
      </c>
      <c r="P150" s="38">
        <f t="shared" si="18"/>
        <v>0</v>
      </c>
      <c r="Q150" s="38">
        <f>(M150*References!$C$57+Opportunities!N150*References!$C$56)/100</f>
        <v>0</v>
      </c>
      <c r="R150" s="35">
        <f t="shared" si="19"/>
        <v>0</v>
      </c>
      <c r="S150" s="36">
        <f>O150/'Graphs&amp;Analysis'!$D$24</f>
        <v>0</v>
      </c>
      <c r="T150" s="153"/>
      <c r="U150" s="153"/>
      <c r="W150" s="13" t="str">
        <f t="shared" si="20"/>
        <v/>
      </c>
    </row>
    <row r="151" spans="2:23">
      <c r="B151" s="20"/>
      <c r="C151" s="5" t="str">
        <f t="shared" si="21"/>
        <v>Buildings Category 4</v>
      </c>
      <c r="D151" s="5" t="s">
        <v>29</v>
      </c>
      <c r="E151" s="5" t="s">
        <v>31</v>
      </c>
      <c r="F151" s="152"/>
      <c r="G151" s="234"/>
      <c r="H151" s="233">
        <v>0.93939393939393934</v>
      </c>
      <c r="I151" s="232">
        <v>0.1</v>
      </c>
      <c r="J151" s="231"/>
      <c r="K151" s="235">
        <v>396</v>
      </c>
      <c r="L151" s="77"/>
      <c r="M151" s="37">
        <f>F151*G151*H151*I151*Baseline!$F$26</f>
        <v>0</v>
      </c>
      <c r="N151" s="37">
        <f>F151*G151*H151*J151*Baseline!$G$26</f>
        <v>0</v>
      </c>
      <c r="O151" s="60">
        <f>(M151*References!$C$27+N151*References!$C$26)/1000</f>
        <v>0</v>
      </c>
      <c r="P151" s="38">
        <f t="shared" si="18"/>
        <v>0</v>
      </c>
      <c r="Q151" s="38">
        <f>(M151*References!$C$57+Opportunities!N151*References!$C$56)/100</f>
        <v>0</v>
      </c>
      <c r="R151" s="35">
        <f t="shared" si="19"/>
        <v>0</v>
      </c>
      <c r="S151" s="36">
        <f>O151/'Graphs&amp;Analysis'!$D$24</f>
        <v>0</v>
      </c>
      <c r="T151" s="153"/>
      <c r="U151" s="153"/>
      <c r="W151" s="13" t="str">
        <f t="shared" si="20"/>
        <v/>
      </c>
    </row>
    <row r="152" spans="2:23">
      <c r="B152" s="20"/>
      <c r="C152" s="5" t="str">
        <f t="shared" si="21"/>
        <v>Buildings Category 4</v>
      </c>
      <c r="D152" s="5" t="s">
        <v>29</v>
      </c>
      <c r="E152" s="5" t="s">
        <v>32</v>
      </c>
      <c r="F152" s="152"/>
      <c r="G152" s="234"/>
      <c r="H152" s="233">
        <v>0.93939393939393934</v>
      </c>
      <c r="I152" s="232">
        <v>7.0000000000000007E-2</v>
      </c>
      <c r="J152" s="231"/>
      <c r="K152" s="235">
        <v>470</v>
      </c>
      <c r="L152" s="77"/>
      <c r="M152" s="37">
        <f>F152*G152*H152*I152*Baseline!$F$26</f>
        <v>0</v>
      </c>
      <c r="N152" s="37">
        <f>F152*G152*H152*J152*Baseline!$G$26</f>
        <v>0</v>
      </c>
      <c r="O152" s="60">
        <f>(M152*References!$C$27+N152*References!$C$26)/1000</f>
        <v>0</v>
      </c>
      <c r="P152" s="38">
        <f t="shared" si="18"/>
        <v>0</v>
      </c>
      <c r="Q152" s="38">
        <f>(M152*References!$C$57+Opportunities!N152*References!$C$56)/100</f>
        <v>0</v>
      </c>
      <c r="R152" s="35">
        <f t="shared" si="19"/>
        <v>0</v>
      </c>
      <c r="S152" s="36">
        <f>O152/'Graphs&amp;Analysis'!$D$24</f>
        <v>0</v>
      </c>
      <c r="T152" s="153"/>
      <c r="U152" s="153"/>
      <c r="W152" s="13" t="str">
        <f t="shared" si="20"/>
        <v/>
      </c>
    </row>
    <row r="153" spans="2:23">
      <c r="B153" s="20"/>
      <c r="C153" s="5" t="str">
        <f t="shared" si="21"/>
        <v>Buildings Category 4</v>
      </c>
      <c r="D153" s="5" t="s">
        <v>29</v>
      </c>
      <c r="E153" s="5" t="s">
        <v>33</v>
      </c>
      <c r="F153" s="152"/>
      <c r="G153" s="234"/>
      <c r="H153" s="233">
        <v>0.93939393939393934</v>
      </c>
      <c r="I153" s="232">
        <v>0.05</v>
      </c>
      <c r="J153" s="231"/>
      <c r="K153" s="235">
        <v>682</v>
      </c>
      <c r="L153" s="77"/>
      <c r="M153" s="37">
        <f>F153*G153*H153*I153*Baseline!$F$26</f>
        <v>0</v>
      </c>
      <c r="N153" s="37">
        <f>F153*G153*H153*J153*Baseline!$G$26</f>
        <v>0</v>
      </c>
      <c r="O153" s="60">
        <f>(M153*References!$C$27+N153*References!$C$26)/1000</f>
        <v>0</v>
      </c>
      <c r="P153" s="38">
        <f t="shared" si="18"/>
        <v>0</v>
      </c>
      <c r="Q153" s="38">
        <f>(M153*References!$C$57+Opportunities!N153*References!$C$56)/100</f>
        <v>0</v>
      </c>
      <c r="R153" s="35">
        <f t="shared" si="19"/>
        <v>0</v>
      </c>
      <c r="S153" s="36">
        <f>O153/'Graphs&amp;Analysis'!$D$24</f>
        <v>0</v>
      </c>
      <c r="T153" s="153"/>
      <c r="U153" s="153"/>
      <c r="W153" s="13" t="str">
        <f t="shared" si="20"/>
        <v/>
      </c>
    </row>
    <row r="154" spans="2:23" ht="25.5">
      <c r="B154" s="20"/>
      <c r="C154" s="5" t="str">
        <f t="shared" si="21"/>
        <v>Buildings Category 4</v>
      </c>
      <c r="D154" s="5" t="s">
        <v>34</v>
      </c>
      <c r="E154" s="5" t="s">
        <v>35</v>
      </c>
      <c r="F154" s="152"/>
      <c r="G154" s="234"/>
      <c r="H154" s="232">
        <v>0.05</v>
      </c>
      <c r="I154" s="232">
        <v>0.7</v>
      </c>
      <c r="J154" s="231"/>
      <c r="K154" s="235">
        <v>472</v>
      </c>
      <c r="L154" s="77"/>
      <c r="M154" s="37">
        <f>F154*G154*H154*I154*Baseline!$F$26</f>
        <v>0</v>
      </c>
      <c r="N154" s="37">
        <f>F154*G154*H154*J154*Baseline!$G$26</f>
        <v>0</v>
      </c>
      <c r="O154" s="60">
        <f>(M154*References!$C$27+N154*References!$C$26)/1000</f>
        <v>0</v>
      </c>
      <c r="P154" s="38">
        <f t="shared" si="18"/>
        <v>0</v>
      </c>
      <c r="Q154" s="38">
        <f>(M154*References!$C$57+Opportunities!N154*References!$C$56)/100</f>
        <v>0</v>
      </c>
      <c r="R154" s="35">
        <f t="shared" si="19"/>
        <v>0</v>
      </c>
      <c r="S154" s="36">
        <f>O154/'Graphs&amp;Analysis'!$D$24</f>
        <v>0</v>
      </c>
      <c r="T154" s="153"/>
      <c r="U154" s="153"/>
      <c r="W154" s="13" t="str">
        <f t="shared" si="20"/>
        <v/>
      </c>
    </row>
    <row r="155" spans="2:23" ht="25.5">
      <c r="B155" s="20"/>
      <c r="C155" s="5" t="str">
        <f t="shared" si="21"/>
        <v>Buildings Category 4</v>
      </c>
      <c r="D155" s="5" t="s">
        <v>27</v>
      </c>
      <c r="E155" s="5" t="s">
        <v>122</v>
      </c>
      <c r="F155" s="152"/>
      <c r="G155" s="234"/>
      <c r="H155" s="232">
        <v>1</v>
      </c>
      <c r="I155" s="232">
        <v>0.8</v>
      </c>
      <c r="J155" s="231"/>
      <c r="K155" s="235">
        <v>803</v>
      </c>
      <c r="L155" s="77"/>
      <c r="M155" s="37">
        <f>F155*G155*H155*I155*Baseline!$F$26</f>
        <v>0</v>
      </c>
      <c r="N155" s="37">
        <f>F155*G155*H155*J155*Baseline!$G$26</f>
        <v>0</v>
      </c>
      <c r="O155" s="60">
        <f>(M155*References!$C$27+N155*References!$C$26)/1000</f>
        <v>0</v>
      </c>
      <c r="P155" s="38">
        <f t="shared" si="18"/>
        <v>0</v>
      </c>
      <c r="Q155" s="38">
        <f>(M155*References!$C$57+Opportunities!N155*References!$C$56)/100</f>
        <v>0</v>
      </c>
      <c r="R155" s="35">
        <f t="shared" si="19"/>
        <v>0</v>
      </c>
      <c r="S155" s="36">
        <f>O155/'Graphs&amp;Analysis'!$D$24</f>
        <v>0</v>
      </c>
      <c r="T155" s="153"/>
      <c r="U155" s="153"/>
      <c r="W155" s="13" t="str">
        <f t="shared" si="20"/>
        <v/>
      </c>
    </row>
    <row r="156" spans="2:23" ht="25.5">
      <c r="B156" s="20"/>
      <c r="C156" s="5" t="str">
        <f t="shared" si="21"/>
        <v>Buildings Category 4</v>
      </c>
      <c r="D156" s="5" t="s">
        <v>27</v>
      </c>
      <c r="E156" s="5" t="s">
        <v>28</v>
      </c>
      <c r="F156" s="152"/>
      <c r="G156" s="234"/>
      <c r="H156" s="232">
        <v>1</v>
      </c>
      <c r="I156" s="232">
        <v>0.2</v>
      </c>
      <c r="J156" s="231"/>
      <c r="K156" s="235">
        <v>803</v>
      </c>
      <c r="L156" s="77"/>
      <c r="M156" s="37">
        <f>F156*G156*H156*I156*Baseline!$F$26</f>
        <v>0</v>
      </c>
      <c r="N156" s="37">
        <f>F156*G156*H156*J156*Baseline!$G$26</f>
        <v>0</v>
      </c>
      <c r="O156" s="60">
        <f>(M156*References!$C$27+N156*References!$C$26)/1000</f>
        <v>0</v>
      </c>
      <c r="P156" s="38">
        <f t="shared" si="18"/>
        <v>0</v>
      </c>
      <c r="Q156" s="38">
        <f>(M156*References!$C$57+Opportunities!N156*References!$C$56)/100</f>
        <v>0</v>
      </c>
      <c r="R156" s="35">
        <f t="shared" si="19"/>
        <v>0</v>
      </c>
      <c r="S156" s="36">
        <f>O156/'Graphs&amp;Analysis'!$D$24</f>
        <v>0</v>
      </c>
      <c r="T156" s="153"/>
      <c r="U156" s="153"/>
      <c r="W156" s="13" t="str">
        <f t="shared" si="20"/>
        <v/>
      </c>
    </row>
    <row r="157" spans="2:23" ht="25.5">
      <c r="B157" s="20"/>
      <c r="C157" s="5" t="str">
        <f t="shared" si="21"/>
        <v>Buildings Category 4</v>
      </c>
      <c r="D157" s="5" t="s">
        <v>47</v>
      </c>
      <c r="E157" s="5" t="s">
        <v>51</v>
      </c>
      <c r="F157" s="152"/>
      <c r="G157" s="234"/>
      <c r="H157" s="233">
        <v>0.17647058823529407</v>
      </c>
      <c r="I157" s="231"/>
      <c r="J157" s="232">
        <v>0.1</v>
      </c>
      <c r="K157" s="235">
        <v>294</v>
      </c>
      <c r="L157" s="77"/>
      <c r="M157" s="37">
        <f>F157*G157*H157*I157*Baseline!$F$26</f>
        <v>0</v>
      </c>
      <c r="N157" s="37">
        <f>F157*G157*H157*J157*Baseline!$G$26</f>
        <v>0</v>
      </c>
      <c r="O157" s="60">
        <f>(M157*References!$C$27+N157*References!$C$26)/1000</f>
        <v>0</v>
      </c>
      <c r="P157" s="38">
        <f t="shared" si="18"/>
        <v>0</v>
      </c>
      <c r="Q157" s="38">
        <f>(M157*References!$C$57+Opportunities!N157*References!$C$56)/100</f>
        <v>0</v>
      </c>
      <c r="R157" s="35">
        <f t="shared" si="19"/>
        <v>0</v>
      </c>
      <c r="S157" s="36">
        <f>O157/'Graphs&amp;Analysis'!$D$24</f>
        <v>0</v>
      </c>
      <c r="T157" s="153"/>
      <c r="U157" s="153"/>
      <c r="W157" s="13" t="str">
        <f t="shared" si="20"/>
        <v/>
      </c>
    </row>
    <row r="158" spans="2:23">
      <c r="B158" s="20"/>
      <c r="C158" s="5" t="str">
        <f t="shared" si="21"/>
        <v>Buildings Category 4</v>
      </c>
      <c r="D158" s="5" t="s">
        <v>47</v>
      </c>
      <c r="E158" s="5" t="s">
        <v>50</v>
      </c>
      <c r="F158" s="152"/>
      <c r="G158" s="234"/>
      <c r="H158" s="233">
        <v>0.17647058823529407</v>
      </c>
      <c r="I158" s="231"/>
      <c r="J158" s="232">
        <v>0.1</v>
      </c>
      <c r="K158" s="235">
        <v>4202</v>
      </c>
      <c r="L158" s="77"/>
      <c r="M158" s="37">
        <f>F158*G158*H158*I158*Baseline!$F$26</f>
        <v>0</v>
      </c>
      <c r="N158" s="37">
        <f>F158*G158*H158*J158*Baseline!$G$26</f>
        <v>0</v>
      </c>
      <c r="O158" s="60">
        <f>(M158*References!$C$27+N158*References!$C$26)/1000</f>
        <v>0</v>
      </c>
      <c r="P158" s="38">
        <f t="shared" si="18"/>
        <v>0</v>
      </c>
      <c r="Q158" s="38">
        <f>(M158*References!$C$57+Opportunities!N158*References!$C$56)/100</f>
        <v>0</v>
      </c>
      <c r="R158" s="35">
        <f t="shared" si="19"/>
        <v>0</v>
      </c>
      <c r="S158" s="36">
        <f>O158/'Graphs&amp;Analysis'!$D$24</f>
        <v>0</v>
      </c>
      <c r="T158" s="153"/>
      <c r="U158" s="153"/>
      <c r="W158" s="13" t="str">
        <f t="shared" si="20"/>
        <v/>
      </c>
    </row>
    <row r="159" spans="2:23">
      <c r="B159" s="20"/>
      <c r="C159" s="5" t="str">
        <f t="shared" si="21"/>
        <v>Buildings Category 4</v>
      </c>
      <c r="D159" s="5" t="s">
        <v>47</v>
      </c>
      <c r="E159" s="5" t="s">
        <v>49</v>
      </c>
      <c r="F159" s="152"/>
      <c r="G159" s="234"/>
      <c r="H159" s="233">
        <v>0.17647058823529407</v>
      </c>
      <c r="I159" s="231"/>
      <c r="J159" s="232">
        <v>0.1</v>
      </c>
      <c r="K159" s="235">
        <v>1200</v>
      </c>
      <c r="L159" s="77"/>
      <c r="M159" s="37">
        <f>F159*G159*H159*I159*Baseline!$F$26</f>
        <v>0</v>
      </c>
      <c r="N159" s="37">
        <f>F159*G159*H159*J159*Baseline!$G$26</f>
        <v>0</v>
      </c>
      <c r="O159" s="60">
        <f>(M159*References!$C$27+N159*References!$C$26)/1000</f>
        <v>0</v>
      </c>
      <c r="P159" s="38">
        <f t="shared" si="18"/>
        <v>0</v>
      </c>
      <c r="Q159" s="38">
        <f>(M159*References!$C$57+Opportunities!N159*References!$C$56)/100</f>
        <v>0</v>
      </c>
      <c r="R159" s="35">
        <f t="shared" si="19"/>
        <v>0</v>
      </c>
      <c r="S159" s="36">
        <f>O159/'Graphs&amp;Analysis'!$D$24</f>
        <v>0</v>
      </c>
      <c r="T159" s="153"/>
      <c r="U159" s="153"/>
      <c r="W159" s="13" t="str">
        <f t="shared" si="20"/>
        <v/>
      </c>
    </row>
    <row r="160" spans="2:23" ht="25.5">
      <c r="B160" s="20"/>
      <c r="C160" s="5" t="str">
        <f t="shared" si="21"/>
        <v>Buildings Category 4</v>
      </c>
      <c r="D160" s="5" t="s">
        <v>47</v>
      </c>
      <c r="E160" s="5" t="s">
        <v>48</v>
      </c>
      <c r="F160" s="152"/>
      <c r="G160" s="234"/>
      <c r="H160" s="233">
        <v>2.9411764705882346E-2</v>
      </c>
      <c r="I160" s="231"/>
      <c r="J160" s="232">
        <v>0.5</v>
      </c>
      <c r="K160" s="235">
        <v>606</v>
      </c>
      <c r="L160" s="77"/>
      <c r="M160" s="37">
        <f>F160*G160*H160*I160*Baseline!$F$26</f>
        <v>0</v>
      </c>
      <c r="N160" s="37">
        <f>F160*G160*H160*J160*Baseline!$G$26</f>
        <v>0</v>
      </c>
      <c r="O160" s="60">
        <f>(M160*References!$C$27+N160*References!$C$26)/1000</f>
        <v>0</v>
      </c>
      <c r="P160" s="38">
        <f t="shared" si="18"/>
        <v>0</v>
      </c>
      <c r="Q160" s="38">
        <f>(M160*References!$C$57+Opportunities!N160*References!$C$56)/100</f>
        <v>0</v>
      </c>
      <c r="R160" s="35">
        <f t="shared" si="19"/>
        <v>0</v>
      </c>
      <c r="S160" s="36">
        <f>O160/'Graphs&amp;Analysis'!$D$24</f>
        <v>0</v>
      </c>
      <c r="T160" s="153"/>
      <c r="U160" s="153"/>
      <c r="W160" s="13" t="str">
        <f t="shared" si="20"/>
        <v/>
      </c>
    </row>
    <row r="161" spans="2:23" ht="25.5">
      <c r="B161" s="20"/>
      <c r="C161" s="5" t="str">
        <f t="shared" si="21"/>
        <v>Buildings Category 4</v>
      </c>
      <c r="D161" s="5" t="s">
        <v>36</v>
      </c>
      <c r="E161" s="5" t="s">
        <v>37</v>
      </c>
      <c r="F161" s="152"/>
      <c r="G161" s="234"/>
      <c r="H161" s="233">
        <v>0.5</v>
      </c>
      <c r="I161" s="232"/>
      <c r="J161" s="232">
        <v>0.35</v>
      </c>
      <c r="K161" s="235">
        <v>1200</v>
      </c>
      <c r="L161" s="77"/>
      <c r="M161" s="37">
        <f>F161*G161*H161*I161*Baseline!$F$26</f>
        <v>0</v>
      </c>
      <c r="N161" s="37">
        <f>F161*G161*H161*J161*Baseline!$G$26</f>
        <v>0</v>
      </c>
      <c r="O161" s="60">
        <f>(M161*References!$C$27+N161*References!$C$26)/1000</f>
        <v>0</v>
      </c>
      <c r="P161" s="38">
        <f t="shared" si="18"/>
        <v>0</v>
      </c>
      <c r="Q161" s="38">
        <f>(M161*References!$C$57+Opportunities!N161*References!$C$56)/100</f>
        <v>0</v>
      </c>
      <c r="R161" s="35">
        <f t="shared" si="19"/>
        <v>0</v>
      </c>
      <c r="S161" s="36">
        <f>O161/'Graphs&amp;Analysis'!$D$24</f>
        <v>0</v>
      </c>
      <c r="T161" s="153"/>
      <c r="U161" s="153"/>
      <c r="W161" s="13" t="str">
        <f t="shared" si="20"/>
        <v/>
      </c>
    </row>
    <row r="162" spans="2:23">
      <c r="B162" s="20"/>
      <c r="C162" s="5" t="str">
        <f t="shared" si="21"/>
        <v>Buildings Category 4</v>
      </c>
      <c r="D162" s="5" t="s">
        <v>36</v>
      </c>
      <c r="E162" s="5" t="s">
        <v>38</v>
      </c>
      <c r="F162" s="152"/>
      <c r="G162" s="234"/>
      <c r="H162" s="233">
        <v>0.5</v>
      </c>
      <c r="I162" s="232"/>
      <c r="J162" s="232">
        <v>0.5</v>
      </c>
      <c r="K162" s="235">
        <v>500</v>
      </c>
      <c r="L162" s="77"/>
      <c r="M162" s="37">
        <f>F162*G162*H162*I162*Baseline!$F$26</f>
        <v>0</v>
      </c>
      <c r="N162" s="37">
        <f>F162*G162*H162*J162*Baseline!$G$26</f>
        <v>0</v>
      </c>
      <c r="O162" s="60">
        <f>(M162*References!$C$27+N162*References!$C$26)/1000</f>
        <v>0</v>
      </c>
      <c r="P162" s="38">
        <f t="shared" si="18"/>
        <v>0</v>
      </c>
      <c r="Q162" s="38">
        <f>(M162*References!$C$57+Opportunities!N162*References!$C$56)/100</f>
        <v>0</v>
      </c>
      <c r="R162" s="35">
        <f t="shared" si="19"/>
        <v>0</v>
      </c>
      <c r="S162" s="36">
        <f>O162/'Graphs&amp;Analysis'!$D$24</f>
        <v>0</v>
      </c>
      <c r="T162" s="153"/>
      <c r="U162" s="153"/>
      <c r="W162" s="13" t="str">
        <f t="shared" si="20"/>
        <v/>
      </c>
    </row>
    <row r="163" spans="2:23" ht="25.5">
      <c r="B163" s="20"/>
      <c r="C163" s="5" t="str">
        <f t="shared" si="21"/>
        <v>Buildings Category 4</v>
      </c>
      <c r="D163" s="5" t="s">
        <v>39</v>
      </c>
      <c r="E163" s="5" t="s">
        <v>40</v>
      </c>
      <c r="F163" s="152"/>
      <c r="G163" s="234"/>
      <c r="H163" s="233">
        <v>0.5</v>
      </c>
      <c r="I163" s="232"/>
      <c r="J163" s="232">
        <v>0.08</v>
      </c>
      <c r="K163" s="235">
        <v>633</v>
      </c>
      <c r="L163" s="78"/>
      <c r="M163" s="37">
        <f>F163*G163*H163*I163*Baseline!$F$26</f>
        <v>0</v>
      </c>
      <c r="N163" s="37">
        <f>F163*G163*H163*J163*Baseline!$G$26</f>
        <v>0</v>
      </c>
      <c r="O163" s="60">
        <f>(M163*References!$C$27+N163*References!$C$26)/1000</f>
        <v>0</v>
      </c>
      <c r="P163" s="38">
        <f t="shared" si="18"/>
        <v>0</v>
      </c>
      <c r="Q163" s="38">
        <f>(M163*References!$C$57+Opportunities!N163*References!$C$56)/100</f>
        <v>0</v>
      </c>
      <c r="R163" s="35">
        <f t="shared" si="19"/>
        <v>0</v>
      </c>
      <c r="S163" s="36">
        <f>O163/'Graphs&amp;Analysis'!$D$24</f>
        <v>0</v>
      </c>
      <c r="T163" s="153"/>
      <c r="U163" s="153"/>
      <c r="W163" s="13" t="str">
        <f t="shared" si="20"/>
        <v/>
      </c>
    </row>
    <row r="164" spans="2:23" ht="25.5">
      <c r="B164" s="20"/>
      <c r="C164" s="5" t="str">
        <f t="shared" si="21"/>
        <v>Buildings Category 4</v>
      </c>
      <c r="D164" s="5" t="s">
        <v>43</v>
      </c>
      <c r="E164" s="5" t="s">
        <v>46</v>
      </c>
      <c r="F164" s="152"/>
      <c r="G164" s="234"/>
      <c r="H164" s="233">
        <v>1</v>
      </c>
      <c r="I164" s="232">
        <v>7.0000000000000007E-2</v>
      </c>
      <c r="J164" s="232">
        <v>7.0000000000000007E-2</v>
      </c>
      <c r="K164" s="235">
        <v>500</v>
      </c>
      <c r="L164" s="78"/>
      <c r="M164" s="37">
        <f>F164*G164*H164*I164*Baseline!$F$26</f>
        <v>0</v>
      </c>
      <c r="N164" s="37">
        <f>F164*G164*H164*J164*Baseline!$G$26</f>
        <v>0</v>
      </c>
      <c r="O164" s="60">
        <f>(M164*References!$C$27+N164*References!$C$26)/1000</f>
        <v>0</v>
      </c>
      <c r="P164" s="38">
        <f t="shared" si="18"/>
        <v>0</v>
      </c>
      <c r="Q164" s="38">
        <f>(M164*References!$C$57+Opportunities!N164*References!$C$56)/100</f>
        <v>0</v>
      </c>
      <c r="R164" s="35">
        <f t="shared" si="19"/>
        <v>0</v>
      </c>
      <c r="S164" s="36">
        <f>O164/'Graphs&amp;Analysis'!$D$24</f>
        <v>0</v>
      </c>
      <c r="T164" s="153"/>
      <c r="U164" s="153"/>
      <c r="W164" s="13" t="str">
        <f t="shared" si="20"/>
        <v/>
      </c>
    </row>
    <row r="165" spans="2:23" ht="25.5">
      <c r="B165" s="20"/>
      <c r="C165" s="5" t="str">
        <f t="shared" si="21"/>
        <v>Buildings Category 4</v>
      </c>
      <c r="D165" s="5" t="s">
        <v>43</v>
      </c>
      <c r="E165" s="5" t="s">
        <v>44</v>
      </c>
      <c r="F165" s="152"/>
      <c r="G165" s="234"/>
      <c r="H165" s="233">
        <v>5.8823529411764691E-2</v>
      </c>
      <c r="I165" s="231"/>
      <c r="J165" s="232">
        <v>0.4</v>
      </c>
      <c r="K165" s="235">
        <v>307</v>
      </c>
      <c r="L165" s="78"/>
      <c r="M165" s="37">
        <f>F165*G165*H165*I165*Baseline!$F$26</f>
        <v>0</v>
      </c>
      <c r="N165" s="37">
        <f>F165*G165*H165*J165*Baseline!$G$26</f>
        <v>0</v>
      </c>
      <c r="O165" s="60">
        <f>(M165*References!$C$27+N165*References!$C$26)/1000</f>
        <v>0</v>
      </c>
      <c r="P165" s="38">
        <f t="shared" ref="P165:P177" si="22">O165*K165</f>
        <v>0</v>
      </c>
      <c r="Q165" s="38">
        <f>(M165*References!$C$57+Opportunities!N165*References!$C$56)/100</f>
        <v>0</v>
      </c>
      <c r="R165" s="35">
        <f t="shared" ref="R165:R177" si="23">IF(ISERROR(P165/Q165),0,P165/Q165)</f>
        <v>0</v>
      </c>
      <c r="S165" s="36">
        <f>O165/'Graphs&amp;Analysis'!$D$24</f>
        <v>0</v>
      </c>
      <c r="T165" s="153"/>
      <c r="U165" s="153"/>
      <c r="W165" s="13" t="str">
        <f t="shared" si="20"/>
        <v/>
      </c>
    </row>
    <row r="166" spans="2:23">
      <c r="B166" s="20"/>
      <c r="C166" s="5" t="str">
        <f t="shared" si="21"/>
        <v>Buildings Category 4</v>
      </c>
      <c r="D166" s="5" t="s">
        <v>43</v>
      </c>
      <c r="E166" s="5" t="s">
        <v>55</v>
      </c>
      <c r="F166" s="152"/>
      <c r="G166" s="234"/>
      <c r="H166" s="232">
        <v>0.5</v>
      </c>
      <c r="I166" s="232">
        <v>0.05</v>
      </c>
      <c r="J166" s="232"/>
      <c r="K166" s="235">
        <v>500</v>
      </c>
      <c r="L166" s="78"/>
      <c r="M166" s="37">
        <f>F166*G166*H166*I166*Baseline!$F$26</f>
        <v>0</v>
      </c>
      <c r="N166" s="37">
        <f>F166*G166*H166*J166*Baseline!$G$26</f>
        <v>0</v>
      </c>
      <c r="O166" s="60">
        <f>(M166*References!$C$27+N166*References!$C$26)/1000</f>
        <v>0</v>
      </c>
      <c r="P166" s="38">
        <f t="shared" si="22"/>
        <v>0</v>
      </c>
      <c r="Q166" s="38">
        <f>(M166*References!$C$57+Opportunities!N166*References!$C$56)/100</f>
        <v>0</v>
      </c>
      <c r="R166" s="35">
        <f t="shared" si="23"/>
        <v>0</v>
      </c>
      <c r="S166" s="36">
        <f>O166/'Graphs&amp;Analysis'!$D$24</f>
        <v>0</v>
      </c>
      <c r="T166" s="153"/>
      <c r="U166" s="153"/>
      <c r="W166" s="13" t="str">
        <f t="shared" si="20"/>
        <v/>
      </c>
    </row>
    <row r="167" spans="2:23" ht="25.5">
      <c r="B167" s="20"/>
      <c r="C167" s="5" t="str">
        <f t="shared" si="21"/>
        <v>Buildings Category 4</v>
      </c>
      <c r="D167" s="5" t="s">
        <v>43</v>
      </c>
      <c r="E167" s="5" t="s">
        <v>56</v>
      </c>
      <c r="F167" s="152"/>
      <c r="G167" s="234"/>
      <c r="H167" s="232">
        <v>1</v>
      </c>
      <c r="I167" s="232">
        <v>0.1</v>
      </c>
      <c r="J167" s="232">
        <v>0.15</v>
      </c>
      <c r="K167" s="235">
        <v>500</v>
      </c>
      <c r="L167" s="78"/>
      <c r="M167" s="37">
        <f>F167*G167*H167*I167*Baseline!$F$26</f>
        <v>0</v>
      </c>
      <c r="N167" s="37">
        <f>F167*G167*H167*J167*Baseline!$G$26</f>
        <v>0</v>
      </c>
      <c r="O167" s="60">
        <f>(M167*References!$C$27+N167*References!$C$26)/1000</f>
        <v>0</v>
      </c>
      <c r="P167" s="38">
        <f t="shared" si="22"/>
        <v>0</v>
      </c>
      <c r="Q167" s="38">
        <f>(M167*References!$C$57+Opportunities!N167*References!$C$56)/100</f>
        <v>0</v>
      </c>
      <c r="R167" s="35">
        <f t="shared" si="23"/>
        <v>0</v>
      </c>
      <c r="S167" s="36">
        <f>O167/'Graphs&amp;Analysis'!$D$24</f>
        <v>0</v>
      </c>
      <c r="T167" s="153"/>
      <c r="U167" s="153"/>
      <c r="W167" s="13" t="str">
        <f t="shared" si="20"/>
        <v/>
      </c>
    </row>
    <row r="168" spans="2:23">
      <c r="B168" s="20"/>
      <c r="C168" s="5" t="str">
        <f t="shared" si="21"/>
        <v>Buildings Category 4</v>
      </c>
      <c r="D168" s="5" t="s">
        <v>43</v>
      </c>
      <c r="E168" s="5" t="s">
        <v>53</v>
      </c>
      <c r="F168" s="152"/>
      <c r="G168" s="234"/>
      <c r="H168" s="232">
        <v>1</v>
      </c>
      <c r="I168" s="232"/>
      <c r="J168" s="232">
        <v>0.4</v>
      </c>
      <c r="K168" s="235">
        <v>500</v>
      </c>
      <c r="L168" s="78"/>
      <c r="M168" s="37">
        <f>F168*G168*H168*I168*Baseline!$F$26</f>
        <v>0</v>
      </c>
      <c r="N168" s="37">
        <f>F168*G168*H168*J168*Baseline!$G$26</f>
        <v>0</v>
      </c>
      <c r="O168" s="60">
        <f>(M168*References!$C$27+N168*References!$C$26)/1000</f>
        <v>0</v>
      </c>
      <c r="P168" s="38">
        <f t="shared" si="22"/>
        <v>0</v>
      </c>
      <c r="Q168" s="38">
        <f>(M168*References!$C$57+Opportunities!N168*References!$C$56)/100</f>
        <v>0</v>
      </c>
      <c r="R168" s="35">
        <f t="shared" si="23"/>
        <v>0</v>
      </c>
      <c r="S168" s="36">
        <f>O168/'Graphs&amp;Analysis'!$D$24</f>
        <v>0</v>
      </c>
      <c r="T168" s="153"/>
      <c r="U168" s="153"/>
      <c r="W168" s="13" t="str">
        <f t="shared" si="20"/>
        <v/>
      </c>
    </row>
    <row r="169" spans="2:23" ht="25.5">
      <c r="B169" s="20"/>
      <c r="C169" s="5" t="str">
        <f t="shared" si="21"/>
        <v>Buildings Category 4</v>
      </c>
      <c r="D169" s="5" t="s">
        <v>43</v>
      </c>
      <c r="E169" s="5" t="s">
        <v>54</v>
      </c>
      <c r="F169" s="152"/>
      <c r="G169" s="234"/>
      <c r="H169" s="232">
        <v>0.5</v>
      </c>
      <c r="I169" s="232">
        <v>0.2</v>
      </c>
      <c r="J169" s="232"/>
      <c r="K169" s="235">
        <v>500</v>
      </c>
      <c r="L169" s="78"/>
      <c r="M169" s="37">
        <f>F169*G169*H169*I169*Baseline!$F$26</f>
        <v>0</v>
      </c>
      <c r="N169" s="37">
        <f>F169*G169*H169*J169*Baseline!$G$26</f>
        <v>0</v>
      </c>
      <c r="O169" s="60">
        <f>(M169*References!$C$27+N169*References!$C$26)/1000</f>
        <v>0</v>
      </c>
      <c r="P169" s="38">
        <f t="shared" si="22"/>
        <v>0</v>
      </c>
      <c r="Q169" s="38">
        <f>(M169*References!$C$57+Opportunities!N169*References!$C$56)/100</f>
        <v>0</v>
      </c>
      <c r="R169" s="35">
        <f t="shared" si="23"/>
        <v>0</v>
      </c>
      <c r="S169" s="36">
        <f>O169/'Graphs&amp;Analysis'!$D$24</f>
        <v>0</v>
      </c>
      <c r="T169" s="153"/>
      <c r="U169" s="153"/>
      <c r="W169" s="13" t="str">
        <f t="shared" si="20"/>
        <v/>
      </c>
    </row>
    <row r="170" spans="2:23">
      <c r="B170" s="20"/>
      <c r="C170" s="5" t="str">
        <f t="shared" si="21"/>
        <v>Buildings Category 4</v>
      </c>
      <c r="D170" s="5" t="s">
        <v>43</v>
      </c>
      <c r="E170" s="5" t="s">
        <v>45</v>
      </c>
      <c r="F170" s="152"/>
      <c r="G170" s="234"/>
      <c r="H170" s="232">
        <v>1</v>
      </c>
      <c r="I170" s="232"/>
      <c r="J170" s="232">
        <v>0.1</v>
      </c>
      <c r="K170" s="235">
        <v>503</v>
      </c>
      <c r="L170" s="78"/>
      <c r="M170" s="37">
        <f>F170*G170*H170*I170*Baseline!$F$26</f>
        <v>0</v>
      </c>
      <c r="N170" s="37">
        <f>F170*G170*H170*J170*Baseline!$G$26</f>
        <v>0</v>
      </c>
      <c r="O170" s="60">
        <f>(M170*References!$C$27+N170*References!$C$26)/1000</f>
        <v>0</v>
      </c>
      <c r="P170" s="38">
        <f t="shared" si="22"/>
        <v>0</v>
      </c>
      <c r="Q170" s="38">
        <f>(M170*References!$C$57+Opportunities!N170*References!$C$56)/100</f>
        <v>0</v>
      </c>
      <c r="R170" s="35">
        <f t="shared" si="23"/>
        <v>0</v>
      </c>
      <c r="S170" s="36">
        <f>O170/'Graphs&amp;Analysis'!$D$24</f>
        <v>0</v>
      </c>
      <c r="T170" s="153"/>
      <c r="U170" s="153"/>
      <c r="W170" s="13" t="str">
        <f t="shared" si="20"/>
        <v/>
      </c>
    </row>
    <row r="171" spans="2:23" ht="25.5">
      <c r="B171" s="20"/>
      <c r="C171" s="5" t="str">
        <f t="shared" si="21"/>
        <v>Buildings Category 4</v>
      </c>
      <c r="D171" s="5" t="s">
        <v>41</v>
      </c>
      <c r="E171" s="5" t="s">
        <v>42</v>
      </c>
      <c r="F171" s="152"/>
      <c r="G171" s="234"/>
      <c r="H171" s="232">
        <v>0.15</v>
      </c>
      <c r="I171" s="232"/>
      <c r="J171" s="232">
        <v>0.35</v>
      </c>
      <c r="K171" s="235">
        <v>458</v>
      </c>
      <c r="L171" s="78"/>
      <c r="M171" s="37">
        <f>F171*G171*H171*I171*Baseline!$F$26</f>
        <v>0</v>
      </c>
      <c r="N171" s="37">
        <f>F171*G171*H171*J171*Baseline!$G$26</f>
        <v>0</v>
      </c>
      <c r="O171" s="60">
        <f>(M171*References!$C$27+N171*References!$C$26)/1000</f>
        <v>0</v>
      </c>
      <c r="P171" s="38">
        <f t="shared" si="22"/>
        <v>0</v>
      </c>
      <c r="Q171" s="38">
        <f>(M171*References!$C$57+Opportunities!N171*References!$C$56)/100</f>
        <v>0</v>
      </c>
      <c r="R171" s="35">
        <f t="shared" si="23"/>
        <v>0</v>
      </c>
      <c r="S171" s="36">
        <f>O171/'Graphs&amp;Analysis'!$D$24</f>
        <v>0</v>
      </c>
      <c r="T171" s="153"/>
      <c r="U171" s="153"/>
      <c r="W171" s="13" t="str">
        <f t="shared" si="20"/>
        <v/>
      </c>
    </row>
    <row r="172" spans="2:23" ht="38.25">
      <c r="B172" s="20"/>
      <c r="C172" s="5" t="str">
        <f t="shared" si="21"/>
        <v>Buildings Category 4</v>
      </c>
      <c r="D172" s="5" t="s">
        <v>220</v>
      </c>
      <c r="E172" s="222" t="s">
        <v>221</v>
      </c>
      <c r="F172" s="152"/>
      <c r="G172" s="234"/>
      <c r="H172" s="233">
        <v>1</v>
      </c>
      <c r="I172" s="233">
        <v>0.01</v>
      </c>
      <c r="J172" s="231"/>
      <c r="K172" s="235">
        <v>121</v>
      </c>
      <c r="L172" s="78"/>
      <c r="M172" s="37">
        <f>F172*G172*H172*I172*Baseline!$F$26</f>
        <v>0</v>
      </c>
      <c r="N172" s="37">
        <f>F172*G172*H172*J172*Baseline!$G$26</f>
        <v>0</v>
      </c>
      <c r="O172" s="60">
        <f>(M172*References!$C$27+N172*References!$C$26)/1000</f>
        <v>0</v>
      </c>
      <c r="P172" s="38">
        <f t="shared" si="22"/>
        <v>0</v>
      </c>
      <c r="Q172" s="38">
        <f>(M172*References!$C$57+Opportunities!N172*References!$C$56)/100</f>
        <v>0</v>
      </c>
      <c r="R172" s="35">
        <f t="shared" si="23"/>
        <v>0</v>
      </c>
      <c r="S172" s="36">
        <f>O172/'Graphs&amp;Analysis'!$D$24</f>
        <v>0</v>
      </c>
      <c r="T172" s="153"/>
      <c r="U172" s="153"/>
      <c r="W172" s="13" t="str">
        <f t="shared" si="20"/>
        <v/>
      </c>
    </row>
    <row r="173" spans="2:23" ht="30">
      <c r="B173" s="20"/>
      <c r="C173" s="5" t="str">
        <f t="shared" si="21"/>
        <v>Buildings Category 4</v>
      </c>
      <c r="D173" s="5" t="s">
        <v>220</v>
      </c>
      <c r="E173" s="223" t="s">
        <v>222</v>
      </c>
      <c r="F173" s="152"/>
      <c r="G173" s="234"/>
      <c r="H173" s="233">
        <v>1</v>
      </c>
      <c r="I173" s="233">
        <v>7.0000000000000007E-2</v>
      </c>
      <c r="J173" s="231"/>
      <c r="K173" s="235">
        <v>500</v>
      </c>
      <c r="L173" s="78"/>
      <c r="M173" s="37">
        <f>F173*G173*H173*I173*Baseline!$F$26</f>
        <v>0</v>
      </c>
      <c r="N173" s="37">
        <f>F173*G173*H173*J173*Baseline!$G$26</f>
        <v>0</v>
      </c>
      <c r="O173" s="60">
        <f>(M173*References!$C$27+N173*References!$C$26)/1000</f>
        <v>0</v>
      </c>
      <c r="P173" s="38">
        <f t="shared" si="22"/>
        <v>0</v>
      </c>
      <c r="Q173" s="38">
        <f>(M173*References!$C$57+Opportunities!N173*References!$C$56)/100</f>
        <v>0</v>
      </c>
      <c r="R173" s="35">
        <f t="shared" si="23"/>
        <v>0</v>
      </c>
      <c r="S173" s="36">
        <f>O173/'Graphs&amp;Analysis'!$D$24</f>
        <v>0</v>
      </c>
      <c r="T173" s="153"/>
      <c r="U173" s="153"/>
      <c r="W173" s="13" t="str">
        <f t="shared" si="20"/>
        <v/>
      </c>
    </row>
    <row r="174" spans="2:23" ht="25.5">
      <c r="B174" s="20"/>
      <c r="C174" s="5" t="str">
        <f t="shared" si="21"/>
        <v>Buildings Category 4</v>
      </c>
      <c r="D174" s="5" t="s">
        <v>220</v>
      </c>
      <c r="E174" s="224" t="s">
        <v>223</v>
      </c>
      <c r="F174" s="152"/>
      <c r="G174" s="234"/>
      <c r="H174" s="233">
        <v>1</v>
      </c>
      <c r="I174" s="233">
        <v>0.02</v>
      </c>
      <c r="J174" s="231"/>
      <c r="K174" s="235">
        <v>153</v>
      </c>
      <c r="L174" s="78"/>
      <c r="M174" s="37">
        <f>F174*G174*H174*I174*Baseline!$F$26</f>
        <v>0</v>
      </c>
      <c r="N174" s="37">
        <f>F174*G174*H174*J174*Baseline!$G$26</f>
        <v>0</v>
      </c>
      <c r="O174" s="60">
        <f>(M174*References!$C$27+N174*References!$C$26)/1000</f>
        <v>0</v>
      </c>
      <c r="P174" s="38">
        <f t="shared" si="22"/>
        <v>0</v>
      </c>
      <c r="Q174" s="38">
        <f>(M174*References!$C$57+Opportunities!N174*References!$C$56)/100</f>
        <v>0</v>
      </c>
      <c r="R174" s="35">
        <f t="shared" si="23"/>
        <v>0</v>
      </c>
      <c r="S174" s="36">
        <f>O174/'Graphs&amp;Analysis'!$D$24</f>
        <v>0</v>
      </c>
      <c r="T174" s="153"/>
      <c r="U174" s="153"/>
      <c r="W174" s="13" t="str">
        <f t="shared" si="20"/>
        <v/>
      </c>
    </row>
    <row r="175" spans="2:23">
      <c r="B175" s="20"/>
      <c r="C175" s="5" t="str">
        <f t="shared" si="21"/>
        <v>Buildings Category 4</v>
      </c>
      <c r="D175" s="5" t="s">
        <v>52</v>
      </c>
      <c r="E175" s="5"/>
      <c r="F175" s="152"/>
      <c r="G175" s="234"/>
      <c r="H175" s="8"/>
      <c r="I175" s="8"/>
      <c r="J175" s="8"/>
      <c r="K175" s="29">
        <v>500</v>
      </c>
      <c r="L175" s="78"/>
      <c r="M175" s="37">
        <f>F175*G175*H175*I175*Baseline!$F$26</f>
        <v>0</v>
      </c>
      <c r="N175" s="37">
        <f>F175*G175*H175*J175*Baseline!$G$26</f>
        <v>0</v>
      </c>
      <c r="O175" s="60">
        <f>(M175*References!$C$27+N175*References!$C$26)/1000</f>
        <v>0</v>
      </c>
      <c r="P175" s="38">
        <f t="shared" si="22"/>
        <v>0</v>
      </c>
      <c r="Q175" s="38">
        <f>(M175*References!$C$57+Opportunities!N175*References!$C$56)/100</f>
        <v>0</v>
      </c>
      <c r="R175" s="35">
        <f t="shared" si="23"/>
        <v>0</v>
      </c>
      <c r="S175" s="36">
        <f>O175/'Graphs&amp;Analysis'!$D$24</f>
        <v>0</v>
      </c>
      <c r="T175" s="153"/>
      <c r="U175" s="153"/>
      <c r="W175" s="13" t="str">
        <f t="shared" si="20"/>
        <v/>
      </c>
    </row>
    <row r="176" spans="2:23">
      <c r="B176" s="20"/>
      <c r="C176" s="5" t="str">
        <f t="shared" si="21"/>
        <v>Buildings Category 4</v>
      </c>
      <c r="D176" s="5" t="s">
        <v>52</v>
      </c>
      <c r="E176" s="5"/>
      <c r="F176" s="152"/>
      <c r="G176" s="234"/>
      <c r="H176" s="8"/>
      <c r="I176" s="8"/>
      <c r="J176" s="8"/>
      <c r="K176" s="29">
        <v>500</v>
      </c>
      <c r="L176" s="78"/>
      <c r="M176" s="37">
        <f>F176*G176*H176*I176*Baseline!$F$26</f>
        <v>0</v>
      </c>
      <c r="N176" s="37">
        <f>F176*G176*H176*J176*Baseline!$G$26</f>
        <v>0</v>
      </c>
      <c r="O176" s="60">
        <f>(M176*References!$C$27+N176*References!$C$26)/1000</f>
        <v>0</v>
      </c>
      <c r="P176" s="38">
        <f t="shared" si="22"/>
        <v>0</v>
      </c>
      <c r="Q176" s="38">
        <f>(M176*References!$C$57+Opportunities!N176*References!$C$56)/100</f>
        <v>0</v>
      </c>
      <c r="R176" s="35">
        <f t="shared" si="23"/>
        <v>0</v>
      </c>
      <c r="S176" s="36">
        <f>O176/'Graphs&amp;Analysis'!$D$24</f>
        <v>0</v>
      </c>
      <c r="T176" s="153"/>
      <c r="U176" s="153"/>
      <c r="W176" s="13" t="str">
        <f t="shared" si="20"/>
        <v/>
      </c>
    </row>
    <row r="177" spans="1:23">
      <c r="B177" s="20"/>
      <c r="C177" s="5" t="str">
        <f t="shared" si="21"/>
        <v>Buildings Category 4</v>
      </c>
      <c r="D177" s="5" t="s">
        <v>52</v>
      </c>
      <c r="E177" s="5"/>
      <c r="F177" s="152"/>
      <c r="G177" s="234"/>
      <c r="H177" s="8"/>
      <c r="I177" s="8"/>
      <c r="J177" s="8"/>
      <c r="K177" s="29">
        <v>500</v>
      </c>
      <c r="L177" s="78"/>
      <c r="M177" s="37">
        <f>F177*G177*H177*I177*Baseline!$F$26</f>
        <v>0</v>
      </c>
      <c r="N177" s="37">
        <f>F177*G177*H177*J177*Baseline!$G$26</f>
        <v>0</v>
      </c>
      <c r="O177" s="60">
        <f>(M177*References!$C$27+N177*References!$C$26)/1000</f>
        <v>0</v>
      </c>
      <c r="P177" s="38">
        <f t="shared" si="22"/>
        <v>0</v>
      </c>
      <c r="Q177" s="38">
        <f>(M177*References!$C$57+Opportunities!N177*References!$C$56)/100</f>
        <v>0</v>
      </c>
      <c r="R177" s="35">
        <f t="shared" si="23"/>
        <v>0</v>
      </c>
      <c r="S177" s="36">
        <f>O177/'Graphs&amp;Analysis'!$D$24</f>
        <v>0</v>
      </c>
      <c r="T177" s="153"/>
      <c r="U177" s="153"/>
      <c r="W177" s="13" t="str">
        <f t="shared" si="20"/>
        <v/>
      </c>
    </row>
    <row r="178" spans="1:23">
      <c r="A178" s="13" t="str">
        <f>IF(T178="YES",MAX($A$12:A177)+1,"")</f>
        <v/>
      </c>
      <c r="C178" s="23"/>
      <c r="D178" s="23"/>
      <c r="E178" s="79"/>
      <c r="F178" s="23"/>
      <c r="G178" s="79"/>
      <c r="H178" s="79"/>
      <c r="I178" s="74"/>
      <c r="J178" s="23"/>
      <c r="K178" s="23"/>
      <c r="M178" s="23"/>
      <c r="N178" s="23"/>
      <c r="O178" s="23"/>
      <c r="P178" s="23"/>
      <c r="Q178" s="23"/>
      <c r="R178" s="23"/>
      <c r="S178" s="23"/>
      <c r="T178" s="23"/>
      <c r="U178" s="23"/>
      <c r="W178" s="13" t="str">
        <f t="shared" si="20"/>
        <v/>
      </c>
    </row>
    <row r="179" spans="1:23">
      <c r="A179" s="13" t="str">
        <f>IF(T179="YES",MAX($A$12:A178)+1,"")</f>
        <v/>
      </c>
      <c r="B179" s="252" t="s">
        <v>128</v>
      </c>
      <c r="C179" s="252"/>
      <c r="G179" s="16"/>
      <c r="H179" s="16"/>
      <c r="I179" s="67"/>
      <c r="K179" s="68" t="s">
        <v>3</v>
      </c>
      <c r="L179" s="68"/>
      <c r="M179" s="69">
        <f>SUM(M142:M178)</f>
        <v>0</v>
      </c>
      <c r="N179" s="69">
        <f>SUM(N142:N178)</f>
        <v>0</v>
      </c>
      <c r="O179" s="69">
        <f>SUM(O142:O178)</f>
        <v>0</v>
      </c>
    </row>
    <row r="180" spans="1:23">
      <c r="A180" s="13" t="str">
        <f>IF(T180="YES",MAX($A$12:A179)+1,"")</f>
        <v/>
      </c>
      <c r="G180" s="16"/>
      <c r="H180" s="16"/>
      <c r="I180" s="67"/>
      <c r="K180" s="68" t="str">
        <f>CONCATENATE("Savings as a % of  ",C142," emissions")</f>
        <v>Savings as a % of  Buildings Category 4 emissions</v>
      </c>
      <c r="L180" s="68"/>
      <c r="M180" s="62" t="e">
        <f>M179/Baseline!F26</f>
        <v>#DIV/0!</v>
      </c>
      <c r="N180" s="62" t="e">
        <f>N179/Baseline!G26</f>
        <v>#DIV/0!</v>
      </c>
      <c r="O180" s="62" t="e">
        <f>O179/Baseline!H26</f>
        <v>#DIV/0!</v>
      </c>
    </row>
    <row r="181" spans="1:23">
      <c r="A181" s="13" t="str">
        <f>IF(T181="YES",MAX($A$12:A180)+1,"")</f>
        <v/>
      </c>
      <c r="T181" s="154"/>
    </row>
    <row r="182" spans="1:23">
      <c r="A182" s="13" t="str">
        <f>IF(T182="YES",MAX($A$12:A181)+1,"")</f>
        <v/>
      </c>
    </row>
    <row r="183" spans="1:23">
      <c r="A183" s="13" t="str">
        <f>IF(T183="YES",MAX($A$12:A182)+1,"")</f>
        <v/>
      </c>
      <c r="B183" s="66" t="s">
        <v>193</v>
      </c>
      <c r="C183" s="73"/>
      <c r="D183" s="22"/>
      <c r="E183" s="237"/>
      <c r="F183" s="22"/>
      <c r="G183" s="22"/>
      <c r="H183" s="22"/>
      <c r="I183" s="22"/>
      <c r="J183" s="22"/>
      <c r="K183" s="22"/>
      <c r="M183" s="22"/>
      <c r="N183" s="22"/>
      <c r="O183" s="22"/>
      <c r="P183" s="22"/>
      <c r="Q183" s="22"/>
      <c r="R183" s="22"/>
      <c r="S183" s="22"/>
      <c r="T183" s="22"/>
      <c r="U183" s="22"/>
    </row>
    <row r="184" spans="1:23" ht="51">
      <c r="A184" s="13" t="str">
        <f>IF(T184="YES",MAX($A$12:A183)+1,"")</f>
        <v/>
      </c>
      <c r="B184" s="20"/>
      <c r="C184" s="1" t="s">
        <v>151</v>
      </c>
      <c r="D184" s="1" t="s">
        <v>5</v>
      </c>
      <c r="E184" s="1" t="s">
        <v>6</v>
      </c>
      <c r="F184" s="1" t="s">
        <v>7</v>
      </c>
      <c r="G184" s="1" t="s">
        <v>8</v>
      </c>
      <c r="H184" s="1" t="s">
        <v>9</v>
      </c>
      <c r="I184" s="1" t="s">
        <v>10</v>
      </c>
      <c r="J184" s="1" t="s">
        <v>11</v>
      </c>
      <c r="K184" s="1" t="s">
        <v>109</v>
      </c>
      <c r="L184" s="75"/>
      <c r="M184" s="1" t="s">
        <v>12</v>
      </c>
      <c r="N184" s="1" t="s">
        <v>13</v>
      </c>
      <c r="O184" s="1" t="s">
        <v>14</v>
      </c>
      <c r="P184" s="1" t="s">
        <v>108</v>
      </c>
      <c r="Q184" s="1" t="s">
        <v>111</v>
      </c>
      <c r="R184" s="1" t="s">
        <v>150</v>
      </c>
      <c r="S184" s="1" t="s">
        <v>77</v>
      </c>
      <c r="T184" s="1" t="s">
        <v>110</v>
      </c>
      <c r="U184" s="1" t="s">
        <v>160</v>
      </c>
    </row>
    <row r="185" spans="1:23" ht="24.75" customHeight="1">
      <c r="A185" s="13" t="str">
        <f>IF(T185="YES",MAX($A$12:A184)+1,"")</f>
        <v/>
      </c>
      <c r="B185" s="20"/>
      <c r="C185" s="5" t="str">
        <f>Baseline!C44</f>
        <v>Buildings Category 5</v>
      </c>
      <c r="D185" s="5" t="s">
        <v>15</v>
      </c>
      <c r="E185" s="5" t="s">
        <v>16</v>
      </c>
      <c r="F185" s="152"/>
      <c r="G185" s="234"/>
      <c r="H185" s="233">
        <v>2.9411764705882346E-2</v>
      </c>
      <c r="I185" s="231"/>
      <c r="J185" s="233">
        <v>0.05</v>
      </c>
      <c r="K185" s="235">
        <v>500</v>
      </c>
      <c r="L185" s="78"/>
      <c r="M185" s="37">
        <f>F185*G185*H185*I185*Baseline!$F$27</f>
        <v>0</v>
      </c>
      <c r="N185" s="37">
        <f>F185*G185*H185*J185*Baseline!$G$27</f>
        <v>0</v>
      </c>
      <c r="O185" s="60">
        <f>(M185*References!$C$27+N185*References!$C$26)/1000</f>
        <v>0</v>
      </c>
      <c r="P185" s="38">
        <f t="shared" ref="P185:P220" si="24">O185*K185</f>
        <v>0</v>
      </c>
      <c r="Q185" s="38">
        <f>(M185*References!$C$57+Opportunities!N185*References!$C$56)/100</f>
        <v>0</v>
      </c>
      <c r="R185" s="35">
        <f t="shared" ref="R185:R220" si="25">IF(ISERROR(P185/Q185),0,P185/Q185)</f>
        <v>0</v>
      </c>
      <c r="S185" s="36">
        <f>O185/'Graphs&amp;Analysis'!$D$24</f>
        <v>0</v>
      </c>
      <c r="T185" s="153"/>
      <c r="U185" s="153"/>
      <c r="W185" s="13" t="str">
        <f t="shared" ref="W185:W220" si="26">IF(O185&gt;0,"Buildings","")</f>
        <v/>
      </c>
    </row>
    <row r="186" spans="1:23" ht="24.75" customHeight="1">
      <c r="A186" s="13" t="str">
        <f>IF(T186="YES",MAX($A$12:A185)+1,"")</f>
        <v/>
      </c>
      <c r="B186" s="20"/>
      <c r="C186" s="5" t="str">
        <f>C185</f>
        <v>Buildings Category 5</v>
      </c>
      <c r="D186" s="5" t="s">
        <v>17</v>
      </c>
      <c r="E186" s="5" t="s">
        <v>18</v>
      </c>
      <c r="F186" s="152"/>
      <c r="G186" s="234"/>
      <c r="H186" s="233">
        <v>2.9411764705882346E-2</v>
      </c>
      <c r="I186" s="231"/>
      <c r="J186" s="233">
        <v>0.05</v>
      </c>
      <c r="K186" s="235">
        <v>500</v>
      </c>
      <c r="L186" s="77"/>
      <c r="M186" s="37">
        <f>F186*G186*H186*I186*Baseline!$F$27</f>
        <v>0</v>
      </c>
      <c r="N186" s="37">
        <f>F186*G186*H186*J186*Baseline!$G$27</f>
        <v>0</v>
      </c>
      <c r="O186" s="60">
        <f>(M186*References!$C$27+N186*References!$C$26)/1000</f>
        <v>0</v>
      </c>
      <c r="P186" s="38">
        <f t="shared" si="24"/>
        <v>0</v>
      </c>
      <c r="Q186" s="38">
        <f>(M186*References!$C$57+Opportunities!N186*References!$C$56)/100</f>
        <v>0</v>
      </c>
      <c r="R186" s="35">
        <f t="shared" si="25"/>
        <v>0</v>
      </c>
      <c r="S186" s="36">
        <f>O186/'Graphs&amp;Analysis'!$D$24</f>
        <v>0</v>
      </c>
      <c r="T186" s="153"/>
      <c r="U186" s="153"/>
      <c r="W186" s="13" t="str">
        <f t="shared" si="26"/>
        <v/>
      </c>
    </row>
    <row r="187" spans="1:23" ht="24.75" customHeight="1">
      <c r="A187" s="13" t="str">
        <f>IF(T187="YES",MAX($A$12:A186)+1,"")</f>
        <v/>
      </c>
      <c r="B187" s="20"/>
      <c r="C187" s="5" t="str">
        <f t="shared" ref="C187:C220" si="27">C186</f>
        <v>Buildings Category 5</v>
      </c>
      <c r="D187" s="5" t="s">
        <v>24</v>
      </c>
      <c r="E187" s="5" t="s">
        <v>24</v>
      </c>
      <c r="F187" s="152"/>
      <c r="G187" s="234"/>
      <c r="H187" s="233">
        <v>0.5</v>
      </c>
      <c r="I187" s="233">
        <v>0.05</v>
      </c>
      <c r="J187" s="233">
        <v>0.02</v>
      </c>
      <c r="K187" s="235">
        <v>470</v>
      </c>
      <c r="L187" s="77"/>
      <c r="M187" s="37">
        <f>F187*G187*H187*I187*Baseline!$F$27</f>
        <v>0</v>
      </c>
      <c r="N187" s="37">
        <f>F187*G187*H187*J187*Baseline!$G$27</f>
        <v>0</v>
      </c>
      <c r="O187" s="60">
        <f>(M187*References!$C$27+N187*References!$C$26)/1000</f>
        <v>0</v>
      </c>
      <c r="P187" s="38">
        <f t="shared" si="24"/>
        <v>0</v>
      </c>
      <c r="Q187" s="38">
        <f>(M187*References!$C$57+Opportunities!N187*References!$C$56)/100</f>
        <v>0</v>
      </c>
      <c r="R187" s="35">
        <f t="shared" si="25"/>
        <v>0</v>
      </c>
      <c r="S187" s="36">
        <f>O187/'Graphs&amp;Analysis'!$D$24</f>
        <v>0</v>
      </c>
      <c r="T187" s="153"/>
      <c r="U187" s="153"/>
      <c r="W187" s="13" t="str">
        <f t="shared" si="26"/>
        <v/>
      </c>
    </row>
    <row r="188" spans="1:23" ht="24.75" customHeight="1">
      <c r="A188" s="13" t="str">
        <f>IF(T188="YES",MAX($A$12:A187)+1,"")</f>
        <v/>
      </c>
      <c r="B188" s="20"/>
      <c r="C188" s="5" t="str">
        <f t="shared" si="27"/>
        <v>Buildings Category 5</v>
      </c>
      <c r="D188" s="5" t="s">
        <v>25</v>
      </c>
      <c r="E188" s="5" t="s">
        <v>26</v>
      </c>
      <c r="F188" s="152"/>
      <c r="G188" s="234"/>
      <c r="H188" s="233">
        <v>0.5</v>
      </c>
      <c r="I188" s="233">
        <v>0.05</v>
      </c>
      <c r="J188" s="233">
        <v>0.02</v>
      </c>
      <c r="K188" s="235">
        <v>427</v>
      </c>
      <c r="L188" s="77"/>
      <c r="M188" s="37">
        <f>F188*G188*H188*I188*Baseline!$F$27</f>
        <v>0</v>
      </c>
      <c r="N188" s="37">
        <f>F188*G188*H188*J188*Baseline!$G$27</f>
        <v>0</v>
      </c>
      <c r="O188" s="60">
        <f>(M188*References!$C$27+N188*References!$C$26)/1000</f>
        <v>0</v>
      </c>
      <c r="P188" s="38">
        <f t="shared" si="24"/>
        <v>0</v>
      </c>
      <c r="Q188" s="38">
        <f>(M188*References!$C$57+Opportunities!N188*References!$C$56)/100</f>
        <v>0</v>
      </c>
      <c r="R188" s="35">
        <f t="shared" si="25"/>
        <v>0</v>
      </c>
      <c r="S188" s="36">
        <f>O188/'Graphs&amp;Analysis'!$D$24</f>
        <v>0</v>
      </c>
      <c r="T188" s="153"/>
      <c r="U188" s="153"/>
      <c r="W188" s="13" t="str">
        <f t="shared" si="26"/>
        <v/>
      </c>
    </row>
    <row r="189" spans="1:23" ht="24.75" customHeight="1">
      <c r="A189" s="13" t="str">
        <f>IF(T189="YES",MAX($A$12:A188)+1,"")</f>
        <v/>
      </c>
      <c r="B189" s="20"/>
      <c r="C189" s="5" t="str">
        <f t="shared" si="27"/>
        <v>Buildings Category 5</v>
      </c>
      <c r="D189" s="5" t="s">
        <v>19</v>
      </c>
      <c r="E189" s="5" t="s">
        <v>22</v>
      </c>
      <c r="F189" s="152"/>
      <c r="G189" s="234"/>
      <c r="H189" s="233">
        <v>0.93939393939393934</v>
      </c>
      <c r="I189" s="232">
        <v>0.05</v>
      </c>
      <c r="J189" s="231"/>
      <c r="K189" s="235">
        <v>628</v>
      </c>
      <c r="L189" s="77"/>
      <c r="M189" s="37">
        <f>F189*G189*H189*I189*Baseline!$F$27</f>
        <v>0</v>
      </c>
      <c r="N189" s="37">
        <f>F189*G189*H189*J189*Baseline!$G$27</f>
        <v>0</v>
      </c>
      <c r="O189" s="60">
        <f>(M189*References!$C$27+N189*References!$C$26)/1000</f>
        <v>0</v>
      </c>
      <c r="P189" s="38">
        <f t="shared" si="24"/>
        <v>0</v>
      </c>
      <c r="Q189" s="38">
        <f>(M189*References!$C$57+Opportunities!N189*References!$C$56)/100</f>
        <v>0</v>
      </c>
      <c r="R189" s="35">
        <f t="shared" si="25"/>
        <v>0</v>
      </c>
      <c r="S189" s="36">
        <f>O189/'Graphs&amp;Analysis'!$D$24</f>
        <v>0</v>
      </c>
      <c r="T189" s="153"/>
      <c r="U189" s="153"/>
      <c r="W189" s="13" t="str">
        <f t="shared" si="26"/>
        <v/>
      </c>
    </row>
    <row r="190" spans="1:23" ht="24.75" customHeight="1">
      <c r="A190" s="13" t="str">
        <f>IF(T190="YES",MAX($A$12:A189)+1,"")</f>
        <v/>
      </c>
      <c r="B190" s="20"/>
      <c r="C190" s="5" t="str">
        <f t="shared" si="27"/>
        <v>Buildings Category 5</v>
      </c>
      <c r="D190" s="5" t="s">
        <v>19</v>
      </c>
      <c r="E190" s="5" t="s">
        <v>23</v>
      </c>
      <c r="F190" s="152"/>
      <c r="G190" s="234"/>
      <c r="H190" s="233">
        <v>0.93939393939393934</v>
      </c>
      <c r="I190" s="232">
        <v>0.1</v>
      </c>
      <c r="J190" s="231"/>
      <c r="K190" s="235">
        <v>574</v>
      </c>
      <c r="L190" s="77"/>
      <c r="M190" s="37">
        <f>F190*G190*H190*I190*Baseline!$F$27</f>
        <v>0</v>
      </c>
      <c r="N190" s="37">
        <f>F190*G190*H190*J190*Baseline!$G$27</f>
        <v>0</v>
      </c>
      <c r="O190" s="60">
        <f>(M190*References!$C$27+N190*References!$C$26)/1000</f>
        <v>0</v>
      </c>
      <c r="P190" s="38">
        <f t="shared" si="24"/>
        <v>0</v>
      </c>
      <c r="Q190" s="38">
        <f>(M190*References!$C$57+Opportunities!N190*References!$C$56)/100</f>
        <v>0</v>
      </c>
      <c r="R190" s="35">
        <f t="shared" si="25"/>
        <v>0</v>
      </c>
      <c r="S190" s="36">
        <f>O190/'Graphs&amp;Analysis'!$D$24</f>
        <v>0</v>
      </c>
      <c r="T190" s="153"/>
      <c r="U190" s="153"/>
      <c r="W190" s="13" t="str">
        <f t="shared" si="26"/>
        <v/>
      </c>
    </row>
    <row r="191" spans="1:23" ht="24.75" customHeight="1">
      <c r="A191" s="13" t="str">
        <f>IF(T191="YES",MAX($A$12:A190)+1,"")</f>
        <v/>
      </c>
      <c r="B191" s="20"/>
      <c r="C191" s="5" t="str">
        <f t="shared" si="27"/>
        <v>Buildings Category 5</v>
      </c>
      <c r="D191" s="5" t="s">
        <v>19</v>
      </c>
      <c r="E191" s="5" t="s">
        <v>21</v>
      </c>
      <c r="F191" s="152"/>
      <c r="G191" s="234"/>
      <c r="H191" s="233">
        <v>0.93939393939393934</v>
      </c>
      <c r="I191" s="232">
        <v>0.05</v>
      </c>
      <c r="J191" s="231"/>
      <c r="K191" s="235">
        <v>566</v>
      </c>
      <c r="L191" s="77"/>
      <c r="M191" s="37">
        <f>F191*G191*H191*I191*Baseline!$F$27</f>
        <v>0</v>
      </c>
      <c r="N191" s="37">
        <f>F191*G191*H191*J191*Baseline!$G$27</f>
        <v>0</v>
      </c>
      <c r="O191" s="60">
        <f>(M191*References!$C$27+N191*References!$C$26)/1000</f>
        <v>0</v>
      </c>
      <c r="P191" s="38">
        <f t="shared" si="24"/>
        <v>0</v>
      </c>
      <c r="Q191" s="38">
        <f>(M191*References!$C$57+Opportunities!N191*References!$C$56)/100</f>
        <v>0</v>
      </c>
      <c r="R191" s="35">
        <f t="shared" si="25"/>
        <v>0</v>
      </c>
      <c r="S191" s="36">
        <f>O191/'Graphs&amp;Analysis'!$D$24</f>
        <v>0</v>
      </c>
      <c r="T191" s="153"/>
      <c r="U191" s="153"/>
      <c r="W191" s="13" t="str">
        <f t="shared" si="26"/>
        <v/>
      </c>
    </row>
    <row r="192" spans="1:23" ht="24.75" customHeight="1">
      <c r="A192" s="13" t="str">
        <f>IF(T192="YES",MAX($A$12:A191)+1,"")</f>
        <v/>
      </c>
      <c r="B192" s="20"/>
      <c r="C192" s="5" t="str">
        <f t="shared" si="27"/>
        <v>Buildings Category 5</v>
      </c>
      <c r="D192" s="5" t="s">
        <v>19</v>
      </c>
      <c r="E192" s="5" t="s">
        <v>20</v>
      </c>
      <c r="F192" s="152"/>
      <c r="G192" s="234"/>
      <c r="H192" s="233">
        <v>0.93939393939393934</v>
      </c>
      <c r="I192" s="232">
        <v>0.1</v>
      </c>
      <c r="J192" s="231"/>
      <c r="K192" s="235">
        <v>750</v>
      </c>
      <c r="L192" s="77"/>
      <c r="M192" s="37">
        <f>F192*G192*H192*I192*Baseline!$F$27</f>
        <v>0</v>
      </c>
      <c r="N192" s="37">
        <f>F192*G192*H192*J192*Baseline!$G$27</f>
        <v>0</v>
      </c>
      <c r="O192" s="60">
        <f>(M192*References!$C$27+N192*References!$C$26)/1000</f>
        <v>0</v>
      </c>
      <c r="P192" s="38">
        <f t="shared" si="24"/>
        <v>0</v>
      </c>
      <c r="Q192" s="38">
        <f>(M192*References!$C$57+Opportunities!N192*References!$C$56)/100</f>
        <v>0</v>
      </c>
      <c r="R192" s="35">
        <f t="shared" si="25"/>
        <v>0</v>
      </c>
      <c r="S192" s="36">
        <f>O192/'Graphs&amp;Analysis'!$D$24</f>
        <v>0</v>
      </c>
      <c r="T192" s="153"/>
      <c r="U192" s="153"/>
      <c r="W192" s="13" t="str">
        <f t="shared" si="26"/>
        <v/>
      </c>
    </row>
    <row r="193" spans="1:23" ht="24.75" customHeight="1">
      <c r="A193" s="13" t="str">
        <f>IF(T193="YES",MAX($A$12:A192)+1,"")</f>
        <v/>
      </c>
      <c r="B193" s="20"/>
      <c r="C193" s="5" t="str">
        <f t="shared" si="27"/>
        <v>Buildings Category 5</v>
      </c>
      <c r="D193" s="5" t="s">
        <v>29</v>
      </c>
      <c r="E193" s="5" t="s">
        <v>30</v>
      </c>
      <c r="F193" s="152"/>
      <c r="G193" s="234"/>
      <c r="H193" s="233">
        <v>0.93939393939393934</v>
      </c>
      <c r="I193" s="232">
        <v>0.15</v>
      </c>
      <c r="J193" s="231"/>
      <c r="K193" s="235">
        <v>641</v>
      </c>
      <c r="L193" s="77"/>
      <c r="M193" s="37">
        <f>F193*G193*H193*I193*Baseline!$F$27</f>
        <v>0</v>
      </c>
      <c r="N193" s="37">
        <f>F193*G193*H193*J193*Baseline!$G$27</f>
        <v>0</v>
      </c>
      <c r="O193" s="60">
        <f>(M193*References!$C$27+N193*References!$C$26)/1000</f>
        <v>0</v>
      </c>
      <c r="P193" s="38">
        <f t="shared" si="24"/>
        <v>0</v>
      </c>
      <c r="Q193" s="38">
        <f>(M193*References!$C$57+Opportunities!N193*References!$C$56)/100</f>
        <v>0</v>
      </c>
      <c r="R193" s="35">
        <f t="shared" si="25"/>
        <v>0</v>
      </c>
      <c r="S193" s="36">
        <f>O193/'Graphs&amp;Analysis'!$D$24</f>
        <v>0</v>
      </c>
      <c r="T193" s="153"/>
      <c r="U193" s="153"/>
      <c r="W193" s="13" t="str">
        <f t="shared" si="26"/>
        <v/>
      </c>
    </row>
    <row r="194" spans="1:23" ht="24.75" customHeight="1">
      <c r="A194" s="13" t="str">
        <f>IF(T194="YES",MAX($A$12:A193)+1,"")</f>
        <v/>
      </c>
      <c r="B194" s="20"/>
      <c r="C194" s="5" t="str">
        <f t="shared" si="27"/>
        <v>Buildings Category 5</v>
      </c>
      <c r="D194" s="5" t="s">
        <v>29</v>
      </c>
      <c r="E194" s="5" t="s">
        <v>31</v>
      </c>
      <c r="F194" s="152"/>
      <c r="G194" s="234"/>
      <c r="H194" s="233">
        <v>0.93939393939393934</v>
      </c>
      <c r="I194" s="232">
        <v>0.1</v>
      </c>
      <c r="J194" s="231"/>
      <c r="K194" s="235">
        <v>396</v>
      </c>
      <c r="L194" s="77"/>
      <c r="M194" s="37">
        <f>F194*G194*H194*I194*Baseline!$F$27</f>
        <v>0</v>
      </c>
      <c r="N194" s="37">
        <f>F194*G194*H194*J194*Baseline!$G$27</f>
        <v>0</v>
      </c>
      <c r="O194" s="60">
        <f>(M194*References!$C$27+N194*References!$C$26)/1000</f>
        <v>0</v>
      </c>
      <c r="P194" s="38">
        <f t="shared" si="24"/>
        <v>0</v>
      </c>
      <c r="Q194" s="38">
        <f>(M194*References!$C$57+Opportunities!N194*References!$C$56)/100</f>
        <v>0</v>
      </c>
      <c r="R194" s="35">
        <f t="shared" si="25"/>
        <v>0</v>
      </c>
      <c r="S194" s="36">
        <f>O194/'Graphs&amp;Analysis'!$D$24</f>
        <v>0</v>
      </c>
      <c r="T194" s="153"/>
      <c r="U194" s="153"/>
      <c r="W194" s="13" t="str">
        <f t="shared" si="26"/>
        <v/>
      </c>
    </row>
    <row r="195" spans="1:23" ht="24.75" customHeight="1">
      <c r="A195" s="13" t="str">
        <f>IF(T195="YES",MAX($A$12:A194)+1,"")</f>
        <v/>
      </c>
      <c r="B195" s="20"/>
      <c r="C195" s="5" t="str">
        <f t="shared" si="27"/>
        <v>Buildings Category 5</v>
      </c>
      <c r="D195" s="5" t="s">
        <v>29</v>
      </c>
      <c r="E195" s="5" t="s">
        <v>32</v>
      </c>
      <c r="F195" s="152"/>
      <c r="G195" s="234"/>
      <c r="H195" s="233">
        <v>0.93939393939393934</v>
      </c>
      <c r="I195" s="232">
        <v>7.0000000000000007E-2</v>
      </c>
      <c r="J195" s="231"/>
      <c r="K195" s="235">
        <v>470</v>
      </c>
      <c r="L195" s="77"/>
      <c r="M195" s="37">
        <f>F195*G195*H195*I195*Baseline!$F$27</f>
        <v>0</v>
      </c>
      <c r="N195" s="37">
        <f>F195*G195*H195*J195*Baseline!$G$27</f>
        <v>0</v>
      </c>
      <c r="O195" s="60">
        <f>(M195*References!$C$27+N195*References!$C$26)/1000</f>
        <v>0</v>
      </c>
      <c r="P195" s="38">
        <f t="shared" si="24"/>
        <v>0</v>
      </c>
      <c r="Q195" s="38">
        <f>(M195*References!$C$57+Opportunities!N195*References!$C$56)/100</f>
        <v>0</v>
      </c>
      <c r="R195" s="35">
        <f t="shared" si="25"/>
        <v>0</v>
      </c>
      <c r="S195" s="36">
        <f>O195/'Graphs&amp;Analysis'!$D$24</f>
        <v>0</v>
      </c>
      <c r="T195" s="153"/>
      <c r="U195" s="153"/>
      <c r="W195" s="13" t="str">
        <f t="shared" si="26"/>
        <v/>
      </c>
    </row>
    <row r="196" spans="1:23" ht="24.75" customHeight="1">
      <c r="A196" s="13" t="str">
        <f>IF(T196="YES",MAX($A$12:A195)+1,"")</f>
        <v/>
      </c>
      <c r="B196" s="20"/>
      <c r="C196" s="5" t="str">
        <f t="shared" si="27"/>
        <v>Buildings Category 5</v>
      </c>
      <c r="D196" s="5" t="s">
        <v>29</v>
      </c>
      <c r="E196" s="5" t="s">
        <v>33</v>
      </c>
      <c r="F196" s="152"/>
      <c r="G196" s="234"/>
      <c r="H196" s="233">
        <v>0.93939393939393934</v>
      </c>
      <c r="I196" s="232">
        <v>0.05</v>
      </c>
      <c r="J196" s="231"/>
      <c r="K196" s="235">
        <v>682</v>
      </c>
      <c r="L196" s="77"/>
      <c r="M196" s="37">
        <f>F196*G196*H196*I196*Baseline!$F$27</f>
        <v>0</v>
      </c>
      <c r="N196" s="37">
        <f>F196*G196*H196*J196*Baseline!$G$27</f>
        <v>0</v>
      </c>
      <c r="O196" s="60">
        <f>(M196*References!$C$27+N196*References!$C$26)/1000</f>
        <v>0</v>
      </c>
      <c r="P196" s="38">
        <f t="shared" si="24"/>
        <v>0</v>
      </c>
      <c r="Q196" s="38">
        <f>(M196*References!$C$57+Opportunities!N196*References!$C$56)/100</f>
        <v>0</v>
      </c>
      <c r="R196" s="35">
        <f t="shared" si="25"/>
        <v>0</v>
      </c>
      <c r="S196" s="36">
        <f>O196/'Graphs&amp;Analysis'!$D$24</f>
        <v>0</v>
      </c>
      <c r="T196" s="153"/>
      <c r="U196" s="153"/>
      <c r="W196" s="13" t="str">
        <f t="shared" si="26"/>
        <v/>
      </c>
    </row>
    <row r="197" spans="1:23" ht="24.75" customHeight="1">
      <c r="A197" s="13" t="str">
        <f>IF(T197="YES",MAX($A$12:A196)+1,"")</f>
        <v/>
      </c>
      <c r="B197" s="20"/>
      <c r="C197" s="5" t="str">
        <f t="shared" si="27"/>
        <v>Buildings Category 5</v>
      </c>
      <c r="D197" s="5" t="s">
        <v>34</v>
      </c>
      <c r="E197" s="5" t="s">
        <v>35</v>
      </c>
      <c r="F197" s="152"/>
      <c r="G197" s="234"/>
      <c r="H197" s="232">
        <v>0.05</v>
      </c>
      <c r="I197" s="232">
        <v>0.7</v>
      </c>
      <c r="J197" s="231"/>
      <c r="K197" s="235">
        <v>472</v>
      </c>
      <c r="L197" s="77"/>
      <c r="M197" s="37">
        <f>F197*G197*H197*I197*Baseline!$F$27</f>
        <v>0</v>
      </c>
      <c r="N197" s="37">
        <f>F197*G197*H197*J197*Baseline!$G$27</f>
        <v>0</v>
      </c>
      <c r="O197" s="60">
        <f>(M197*References!$C$27+N197*References!$C$26)/1000</f>
        <v>0</v>
      </c>
      <c r="P197" s="38">
        <f t="shared" si="24"/>
        <v>0</v>
      </c>
      <c r="Q197" s="38">
        <f>(M197*References!$C$57+Opportunities!N197*References!$C$56)/100</f>
        <v>0</v>
      </c>
      <c r="R197" s="35">
        <f t="shared" si="25"/>
        <v>0</v>
      </c>
      <c r="S197" s="36">
        <f>O197/'Graphs&amp;Analysis'!$D$24</f>
        <v>0</v>
      </c>
      <c r="T197" s="153"/>
      <c r="U197" s="153"/>
      <c r="W197" s="13" t="str">
        <f t="shared" si="26"/>
        <v/>
      </c>
    </row>
    <row r="198" spans="1:23" ht="24.75" customHeight="1">
      <c r="A198" s="13" t="str">
        <f>IF(T198="YES",MAX($A$12:A197)+1,"")</f>
        <v/>
      </c>
      <c r="B198" s="20"/>
      <c r="C198" s="5" t="str">
        <f t="shared" si="27"/>
        <v>Buildings Category 5</v>
      </c>
      <c r="D198" s="5" t="s">
        <v>27</v>
      </c>
      <c r="E198" s="5" t="s">
        <v>122</v>
      </c>
      <c r="F198" s="152"/>
      <c r="G198" s="234"/>
      <c r="H198" s="232">
        <v>1</v>
      </c>
      <c r="I198" s="232">
        <v>0.8</v>
      </c>
      <c r="J198" s="231"/>
      <c r="K198" s="235">
        <v>803</v>
      </c>
      <c r="L198" s="77"/>
      <c r="M198" s="37">
        <f>F198*G198*H198*I198*Baseline!$F$27</f>
        <v>0</v>
      </c>
      <c r="N198" s="37">
        <f>F198*G198*H198*J198*Baseline!$G$27</f>
        <v>0</v>
      </c>
      <c r="O198" s="60">
        <f>(M198*References!$C$27+N198*References!$C$26)/1000</f>
        <v>0</v>
      </c>
      <c r="P198" s="38">
        <f t="shared" si="24"/>
        <v>0</v>
      </c>
      <c r="Q198" s="38">
        <f>(M198*References!$C$57+Opportunities!N198*References!$C$56)/100</f>
        <v>0</v>
      </c>
      <c r="R198" s="35">
        <f t="shared" si="25"/>
        <v>0</v>
      </c>
      <c r="S198" s="36">
        <f>O198/'Graphs&amp;Analysis'!$D$24</f>
        <v>0</v>
      </c>
      <c r="T198" s="153"/>
      <c r="U198" s="153"/>
      <c r="W198" s="13" t="str">
        <f t="shared" si="26"/>
        <v/>
      </c>
    </row>
    <row r="199" spans="1:23" ht="24.75" customHeight="1">
      <c r="A199" s="13" t="str">
        <f>IF(T199="YES",MAX($A$12:A198)+1,"")</f>
        <v/>
      </c>
      <c r="B199" s="20"/>
      <c r="C199" s="5" t="str">
        <f t="shared" si="27"/>
        <v>Buildings Category 5</v>
      </c>
      <c r="D199" s="5" t="s">
        <v>27</v>
      </c>
      <c r="E199" s="5" t="s">
        <v>28</v>
      </c>
      <c r="F199" s="152"/>
      <c r="G199" s="234"/>
      <c r="H199" s="232">
        <v>1</v>
      </c>
      <c r="I199" s="232">
        <v>0.2</v>
      </c>
      <c r="J199" s="231"/>
      <c r="K199" s="235">
        <v>803</v>
      </c>
      <c r="L199" s="77"/>
      <c r="M199" s="37">
        <f>F199*G199*H199*I199*Baseline!$F$27</f>
        <v>0</v>
      </c>
      <c r="N199" s="37">
        <f>F199*G199*H199*J199*Baseline!$G$27</f>
        <v>0</v>
      </c>
      <c r="O199" s="60">
        <f>(M199*References!$C$27+N199*References!$C$26)/1000</f>
        <v>0</v>
      </c>
      <c r="P199" s="38">
        <f t="shared" si="24"/>
        <v>0</v>
      </c>
      <c r="Q199" s="38">
        <f>(M199*References!$C$57+Opportunities!N199*References!$C$56)/100</f>
        <v>0</v>
      </c>
      <c r="R199" s="35">
        <f t="shared" si="25"/>
        <v>0</v>
      </c>
      <c r="S199" s="36">
        <f>O199/'Graphs&amp;Analysis'!$D$24</f>
        <v>0</v>
      </c>
      <c r="T199" s="153"/>
      <c r="U199" s="153"/>
      <c r="W199" s="13" t="str">
        <f t="shared" si="26"/>
        <v/>
      </c>
    </row>
    <row r="200" spans="1:23" ht="24.75" customHeight="1">
      <c r="A200" s="13" t="str">
        <f>IF(T200="YES",MAX($A$12:A199)+1,"")</f>
        <v/>
      </c>
      <c r="B200" s="20"/>
      <c r="C200" s="5" t="str">
        <f t="shared" si="27"/>
        <v>Buildings Category 5</v>
      </c>
      <c r="D200" s="5" t="s">
        <v>47</v>
      </c>
      <c r="E200" s="5" t="s">
        <v>51</v>
      </c>
      <c r="F200" s="152"/>
      <c r="G200" s="234"/>
      <c r="H200" s="233">
        <v>0.17647058823529407</v>
      </c>
      <c r="I200" s="231"/>
      <c r="J200" s="232">
        <v>0.1</v>
      </c>
      <c r="K200" s="235">
        <v>294</v>
      </c>
      <c r="L200" s="77"/>
      <c r="M200" s="37">
        <f>F200*G200*H200*I200*Baseline!$F$27</f>
        <v>0</v>
      </c>
      <c r="N200" s="37">
        <f>F200*G200*H200*J200*Baseline!$G$27</f>
        <v>0</v>
      </c>
      <c r="O200" s="60">
        <f>(M200*References!$C$27+N200*References!$C$26)/1000</f>
        <v>0</v>
      </c>
      <c r="P200" s="38">
        <f t="shared" si="24"/>
        <v>0</v>
      </c>
      <c r="Q200" s="38">
        <f>(M200*References!$C$57+Opportunities!N200*References!$C$56)/100</f>
        <v>0</v>
      </c>
      <c r="R200" s="35">
        <f t="shared" si="25"/>
        <v>0</v>
      </c>
      <c r="S200" s="36">
        <f>O200/'Graphs&amp;Analysis'!$D$24</f>
        <v>0</v>
      </c>
      <c r="T200" s="153"/>
      <c r="U200" s="153"/>
      <c r="W200" s="13" t="str">
        <f t="shared" si="26"/>
        <v/>
      </c>
    </row>
    <row r="201" spans="1:23" ht="24.75" customHeight="1">
      <c r="A201" s="13" t="str">
        <f>IF(T201="YES",MAX($A$12:A200)+1,"")</f>
        <v/>
      </c>
      <c r="B201" s="20"/>
      <c r="C201" s="5" t="str">
        <f t="shared" si="27"/>
        <v>Buildings Category 5</v>
      </c>
      <c r="D201" s="5" t="s">
        <v>47</v>
      </c>
      <c r="E201" s="5" t="s">
        <v>50</v>
      </c>
      <c r="F201" s="152"/>
      <c r="G201" s="234"/>
      <c r="H201" s="233">
        <v>0.17647058823529407</v>
      </c>
      <c r="I201" s="231"/>
      <c r="J201" s="232">
        <v>0.1</v>
      </c>
      <c r="K201" s="235">
        <v>4202</v>
      </c>
      <c r="L201" s="77"/>
      <c r="M201" s="37">
        <f>F201*G201*H201*I201*Baseline!$F$27</f>
        <v>0</v>
      </c>
      <c r="N201" s="37">
        <f>F201*G201*H201*J201*Baseline!$G$27</f>
        <v>0</v>
      </c>
      <c r="O201" s="60">
        <f>(M201*References!$C$27+N201*References!$C$26)/1000</f>
        <v>0</v>
      </c>
      <c r="P201" s="38">
        <f t="shared" si="24"/>
        <v>0</v>
      </c>
      <c r="Q201" s="38">
        <f>(M201*References!$C$57+Opportunities!N201*References!$C$56)/100</f>
        <v>0</v>
      </c>
      <c r="R201" s="35">
        <f t="shared" si="25"/>
        <v>0</v>
      </c>
      <c r="S201" s="36">
        <f>O201/'Graphs&amp;Analysis'!$D$24</f>
        <v>0</v>
      </c>
      <c r="T201" s="153"/>
      <c r="U201" s="153"/>
      <c r="W201" s="13" t="str">
        <f t="shared" si="26"/>
        <v/>
      </c>
    </row>
    <row r="202" spans="1:23" ht="24.75" customHeight="1">
      <c r="A202" s="13" t="str">
        <f>IF(T202="YES",MAX($A$12:A201)+1,"")</f>
        <v/>
      </c>
      <c r="B202" s="20"/>
      <c r="C202" s="5" t="str">
        <f t="shared" si="27"/>
        <v>Buildings Category 5</v>
      </c>
      <c r="D202" s="5" t="s">
        <v>47</v>
      </c>
      <c r="E202" s="5" t="s">
        <v>49</v>
      </c>
      <c r="F202" s="152"/>
      <c r="G202" s="234"/>
      <c r="H202" s="233">
        <v>0.17647058823529407</v>
      </c>
      <c r="I202" s="231"/>
      <c r="J202" s="232">
        <v>0.1</v>
      </c>
      <c r="K202" s="235">
        <v>1200</v>
      </c>
      <c r="L202" s="77"/>
      <c r="M202" s="37">
        <f>F202*G202*H202*I202*Baseline!$F$27</f>
        <v>0</v>
      </c>
      <c r="N202" s="37">
        <f>F202*G202*H202*J202*Baseline!$G$27</f>
        <v>0</v>
      </c>
      <c r="O202" s="60">
        <f>(M202*References!$C$27+N202*References!$C$26)/1000</f>
        <v>0</v>
      </c>
      <c r="P202" s="38">
        <f t="shared" si="24"/>
        <v>0</v>
      </c>
      <c r="Q202" s="38">
        <f>(M202*References!$C$57+Opportunities!N202*References!$C$56)/100</f>
        <v>0</v>
      </c>
      <c r="R202" s="35">
        <f t="shared" si="25"/>
        <v>0</v>
      </c>
      <c r="S202" s="36">
        <f>O202/'Graphs&amp;Analysis'!$D$24</f>
        <v>0</v>
      </c>
      <c r="T202" s="153"/>
      <c r="U202" s="153"/>
      <c r="W202" s="13" t="str">
        <f t="shared" si="26"/>
        <v/>
      </c>
    </row>
    <row r="203" spans="1:23" ht="24.75" customHeight="1">
      <c r="A203" s="13" t="str">
        <f>IF(T203="YES",MAX($A$12:A202)+1,"")</f>
        <v/>
      </c>
      <c r="B203" s="20"/>
      <c r="C203" s="5" t="str">
        <f t="shared" si="27"/>
        <v>Buildings Category 5</v>
      </c>
      <c r="D203" s="5" t="s">
        <v>47</v>
      </c>
      <c r="E203" s="5" t="s">
        <v>48</v>
      </c>
      <c r="F203" s="152"/>
      <c r="G203" s="234"/>
      <c r="H203" s="233">
        <v>2.9411764705882346E-2</v>
      </c>
      <c r="I203" s="231"/>
      <c r="J203" s="232">
        <v>0.5</v>
      </c>
      <c r="K203" s="235">
        <v>606</v>
      </c>
      <c r="L203" s="77"/>
      <c r="M203" s="37">
        <f>F203*G203*H203*I203*Baseline!$F$27</f>
        <v>0</v>
      </c>
      <c r="N203" s="37">
        <f>F203*G203*H203*J203*Baseline!$G$27</f>
        <v>0</v>
      </c>
      <c r="O203" s="60">
        <f>(M203*References!$C$27+N203*References!$C$26)/1000</f>
        <v>0</v>
      </c>
      <c r="P203" s="38">
        <f t="shared" si="24"/>
        <v>0</v>
      </c>
      <c r="Q203" s="38">
        <f>(M203*References!$C$57+Opportunities!N203*References!$C$56)/100</f>
        <v>0</v>
      </c>
      <c r="R203" s="35">
        <f t="shared" si="25"/>
        <v>0</v>
      </c>
      <c r="S203" s="36">
        <f>O203/'Graphs&amp;Analysis'!$D$24</f>
        <v>0</v>
      </c>
      <c r="T203" s="153"/>
      <c r="U203" s="153"/>
      <c r="W203" s="13" t="str">
        <f t="shared" si="26"/>
        <v/>
      </c>
    </row>
    <row r="204" spans="1:23" ht="24.75" customHeight="1">
      <c r="A204" s="13" t="str">
        <f>IF(T204="YES",MAX($A$12:A203)+1,"")</f>
        <v/>
      </c>
      <c r="B204" s="20"/>
      <c r="C204" s="5" t="str">
        <f t="shared" si="27"/>
        <v>Buildings Category 5</v>
      </c>
      <c r="D204" s="5" t="s">
        <v>36</v>
      </c>
      <c r="E204" s="5" t="s">
        <v>37</v>
      </c>
      <c r="F204" s="152"/>
      <c r="G204" s="234"/>
      <c r="H204" s="233">
        <v>0.5</v>
      </c>
      <c r="I204" s="232"/>
      <c r="J204" s="232">
        <v>0.35</v>
      </c>
      <c r="K204" s="235">
        <v>1200</v>
      </c>
      <c r="L204" s="77"/>
      <c r="M204" s="37">
        <f>F204*G204*H204*I204*Baseline!$F$27</f>
        <v>0</v>
      </c>
      <c r="N204" s="37">
        <f>F204*G204*H204*J204*Baseline!$G$27</f>
        <v>0</v>
      </c>
      <c r="O204" s="60">
        <f>(M204*References!$C$27+N204*References!$C$26)/1000</f>
        <v>0</v>
      </c>
      <c r="P204" s="38">
        <f t="shared" si="24"/>
        <v>0</v>
      </c>
      <c r="Q204" s="38">
        <f>(M204*References!$C$57+Opportunities!N204*References!$C$56)/100</f>
        <v>0</v>
      </c>
      <c r="R204" s="35">
        <f t="shared" si="25"/>
        <v>0</v>
      </c>
      <c r="S204" s="36">
        <f>O204/'Graphs&amp;Analysis'!$D$24</f>
        <v>0</v>
      </c>
      <c r="T204" s="153"/>
      <c r="U204" s="153"/>
      <c r="W204" s="13" t="str">
        <f t="shared" si="26"/>
        <v/>
      </c>
    </row>
    <row r="205" spans="1:23" ht="24.75" customHeight="1">
      <c r="A205" s="13" t="str">
        <f>IF(T205="YES",MAX($A$12:A204)+1,"")</f>
        <v/>
      </c>
      <c r="B205" s="20"/>
      <c r="C205" s="5" t="str">
        <f t="shared" si="27"/>
        <v>Buildings Category 5</v>
      </c>
      <c r="D205" s="5" t="s">
        <v>36</v>
      </c>
      <c r="E205" s="5" t="s">
        <v>38</v>
      </c>
      <c r="F205" s="152"/>
      <c r="G205" s="234"/>
      <c r="H205" s="233">
        <v>0.5</v>
      </c>
      <c r="I205" s="232"/>
      <c r="J205" s="232">
        <v>0.5</v>
      </c>
      <c r="K205" s="235">
        <v>500</v>
      </c>
      <c r="L205" s="77"/>
      <c r="M205" s="37">
        <f>F205*G205*H205*I205*Baseline!$F$27</f>
        <v>0</v>
      </c>
      <c r="N205" s="37">
        <f>F205*G205*H205*J205*Baseline!$G$27</f>
        <v>0</v>
      </c>
      <c r="O205" s="60">
        <f>(M205*References!$C$27+N205*References!$C$26)/1000</f>
        <v>0</v>
      </c>
      <c r="P205" s="38">
        <f t="shared" si="24"/>
        <v>0</v>
      </c>
      <c r="Q205" s="38">
        <f>(M205*References!$C$57+Opportunities!N205*References!$C$56)/100</f>
        <v>0</v>
      </c>
      <c r="R205" s="35">
        <f t="shared" si="25"/>
        <v>0</v>
      </c>
      <c r="S205" s="36">
        <f>O205/'Graphs&amp;Analysis'!$D$24</f>
        <v>0</v>
      </c>
      <c r="T205" s="153"/>
      <c r="U205" s="153"/>
      <c r="W205" s="13" t="str">
        <f t="shared" si="26"/>
        <v/>
      </c>
    </row>
    <row r="206" spans="1:23" ht="24.75" customHeight="1">
      <c r="A206" s="13" t="str">
        <f>IF(T206="YES",MAX($A$12:A205)+1,"")</f>
        <v/>
      </c>
      <c r="B206" s="20"/>
      <c r="C206" s="5" t="str">
        <f t="shared" si="27"/>
        <v>Buildings Category 5</v>
      </c>
      <c r="D206" s="5" t="s">
        <v>39</v>
      </c>
      <c r="E206" s="5" t="s">
        <v>40</v>
      </c>
      <c r="F206" s="152"/>
      <c r="G206" s="234"/>
      <c r="H206" s="233">
        <v>0.5</v>
      </c>
      <c r="I206" s="232"/>
      <c r="J206" s="232">
        <v>0.08</v>
      </c>
      <c r="K206" s="235">
        <v>633</v>
      </c>
      <c r="L206" s="78"/>
      <c r="M206" s="37">
        <f>F206*G206*H206*I206*Baseline!$F$27</f>
        <v>0</v>
      </c>
      <c r="N206" s="37">
        <f>F206*G206*H206*J206*Baseline!$G$27</f>
        <v>0</v>
      </c>
      <c r="O206" s="60">
        <f>(M206*References!$C$27+N206*References!$C$26)/1000</f>
        <v>0</v>
      </c>
      <c r="P206" s="38">
        <f t="shared" si="24"/>
        <v>0</v>
      </c>
      <c r="Q206" s="38">
        <f>(M206*References!$C$57+Opportunities!N206*References!$C$56)/100</f>
        <v>0</v>
      </c>
      <c r="R206" s="35">
        <f t="shared" si="25"/>
        <v>0</v>
      </c>
      <c r="S206" s="36">
        <f>O206/'Graphs&amp;Analysis'!$D$24</f>
        <v>0</v>
      </c>
      <c r="T206" s="153"/>
      <c r="U206" s="153"/>
      <c r="W206" s="13" t="str">
        <f t="shared" si="26"/>
        <v/>
      </c>
    </row>
    <row r="207" spans="1:23" ht="24.75" customHeight="1">
      <c r="A207" s="13" t="str">
        <f>IF(T207="YES",MAX($A$12:A206)+1,"")</f>
        <v/>
      </c>
      <c r="B207" s="20"/>
      <c r="C207" s="5" t="str">
        <f t="shared" si="27"/>
        <v>Buildings Category 5</v>
      </c>
      <c r="D207" s="5" t="s">
        <v>43</v>
      </c>
      <c r="E207" s="5" t="s">
        <v>46</v>
      </c>
      <c r="F207" s="152"/>
      <c r="G207" s="234"/>
      <c r="H207" s="233">
        <v>1</v>
      </c>
      <c r="I207" s="232">
        <v>7.0000000000000007E-2</v>
      </c>
      <c r="J207" s="232">
        <v>7.0000000000000007E-2</v>
      </c>
      <c r="K207" s="235">
        <v>500</v>
      </c>
      <c r="L207" s="78"/>
      <c r="M207" s="37">
        <f>F207*G207*H207*I207*Baseline!$F$27</f>
        <v>0</v>
      </c>
      <c r="N207" s="37">
        <f>F207*G207*H207*J207*Baseline!$G$27</f>
        <v>0</v>
      </c>
      <c r="O207" s="60">
        <f>(M207*References!$C$27+N207*References!$C$26)/1000</f>
        <v>0</v>
      </c>
      <c r="P207" s="38">
        <f t="shared" si="24"/>
        <v>0</v>
      </c>
      <c r="Q207" s="38">
        <f>(M207*References!$C$57+Opportunities!N207*References!$C$56)/100</f>
        <v>0</v>
      </c>
      <c r="R207" s="35">
        <f t="shared" si="25"/>
        <v>0</v>
      </c>
      <c r="S207" s="36">
        <f>O207/'Graphs&amp;Analysis'!$D$24</f>
        <v>0</v>
      </c>
      <c r="T207" s="153"/>
      <c r="U207" s="153"/>
      <c r="W207" s="13" t="str">
        <f t="shared" si="26"/>
        <v/>
      </c>
    </row>
    <row r="208" spans="1:23" ht="24.75" customHeight="1">
      <c r="A208" s="13" t="str">
        <f>IF(T208="YES",MAX($A$12:A207)+1,"")</f>
        <v/>
      </c>
      <c r="B208" s="20"/>
      <c r="C208" s="5" t="str">
        <f t="shared" si="27"/>
        <v>Buildings Category 5</v>
      </c>
      <c r="D208" s="5" t="s">
        <v>43</v>
      </c>
      <c r="E208" s="5" t="s">
        <v>44</v>
      </c>
      <c r="F208" s="152"/>
      <c r="G208" s="234"/>
      <c r="H208" s="233">
        <v>5.8823529411764691E-2</v>
      </c>
      <c r="I208" s="231"/>
      <c r="J208" s="232">
        <v>0.4</v>
      </c>
      <c r="K208" s="235">
        <v>307</v>
      </c>
      <c r="L208" s="77"/>
      <c r="M208" s="37">
        <f>F208*G208*H208*I208*Baseline!$F$27</f>
        <v>0</v>
      </c>
      <c r="N208" s="37">
        <f>F208*G208*H208*J208*Baseline!$G$27</f>
        <v>0</v>
      </c>
      <c r="O208" s="60">
        <f>(M208*References!$C$27+N208*References!$C$26)/1000</f>
        <v>0</v>
      </c>
      <c r="P208" s="38">
        <f t="shared" si="24"/>
        <v>0</v>
      </c>
      <c r="Q208" s="38">
        <f>(M208*References!$C$57+Opportunities!N208*References!$C$56)/100</f>
        <v>0</v>
      </c>
      <c r="R208" s="35">
        <f t="shared" si="25"/>
        <v>0</v>
      </c>
      <c r="S208" s="36">
        <f>O208/'Graphs&amp;Analysis'!$D$24</f>
        <v>0</v>
      </c>
      <c r="T208" s="153"/>
      <c r="U208" s="153"/>
      <c r="W208" s="13" t="str">
        <f t="shared" si="26"/>
        <v/>
      </c>
    </row>
    <row r="209" spans="1:23" ht="24.75" customHeight="1">
      <c r="A209" s="13" t="str">
        <f>IF(T209="YES",MAX($A$12:A208)+1,"")</f>
        <v/>
      </c>
      <c r="B209" s="20"/>
      <c r="C209" s="5" t="str">
        <f t="shared" si="27"/>
        <v>Buildings Category 5</v>
      </c>
      <c r="D209" s="5" t="s">
        <v>43</v>
      </c>
      <c r="E209" s="5" t="s">
        <v>55</v>
      </c>
      <c r="F209" s="152"/>
      <c r="G209" s="234"/>
      <c r="H209" s="232">
        <v>0.5</v>
      </c>
      <c r="I209" s="232">
        <v>0.05</v>
      </c>
      <c r="J209" s="232"/>
      <c r="K209" s="235">
        <v>500</v>
      </c>
      <c r="L209" s="77"/>
      <c r="M209" s="37">
        <f>F209*G209*H209*I209*Baseline!$F$27</f>
        <v>0</v>
      </c>
      <c r="N209" s="37">
        <f>F209*G209*H209*J209*Baseline!$G$27</f>
        <v>0</v>
      </c>
      <c r="O209" s="60">
        <f>(M209*References!$C$27+N209*References!$C$26)/1000</f>
        <v>0</v>
      </c>
      <c r="P209" s="38">
        <f t="shared" si="24"/>
        <v>0</v>
      </c>
      <c r="Q209" s="38">
        <f>(M209*References!$C$57+Opportunities!N209*References!$C$56)/100</f>
        <v>0</v>
      </c>
      <c r="R209" s="35">
        <f t="shared" si="25"/>
        <v>0</v>
      </c>
      <c r="S209" s="36">
        <f>O209/'Graphs&amp;Analysis'!$D$24</f>
        <v>0</v>
      </c>
      <c r="T209" s="153"/>
      <c r="U209" s="153"/>
      <c r="W209" s="13" t="str">
        <f t="shared" si="26"/>
        <v/>
      </c>
    </row>
    <row r="210" spans="1:23" ht="24.75" customHeight="1">
      <c r="A210" s="13" t="str">
        <f>IF(T210="YES",MAX($A$12:A209)+1,"")</f>
        <v/>
      </c>
      <c r="B210" s="20"/>
      <c r="C210" s="5" t="str">
        <f t="shared" si="27"/>
        <v>Buildings Category 5</v>
      </c>
      <c r="D210" s="5" t="s">
        <v>43</v>
      </c>
      <c r="E210" s="5" t="s">
        <v>56</v>
      </c>
      <c r="F210" s="152"/>
      <c r="G210" s="234"/>
      <c r="H210" s="232">
        <v>1</v>
      </c>
      <c r="I210" s="232">
        <v>0.1</v>
      </c>
      <c r="J210" s="232">
        <v>0.15</v>
      </c>
      <c r="K210" s="235">
        <v>500</v>
      </c>
      <c r="L210" s="78"/>
      <c r="M210" s="37">
        <f>F210*G210*H210*I210*Baseline!$F$27</f>
        <v>0</v>
      </c>
      <c r="N210" s="37">
        <f>F210*G210*H210*J210*Baseline!$G$27</f>
        <v>0</v>
      </c>
      <c r="O210" s="60">
        <f>(M210*References!$C$27+N210*References!$C$26)/1000</f>
        <v>0</v>
      </c>
      <c r="P210" s="38">
        <f t="shared" si="24"/>
        <v>0</v>
      </c>
      <c r="Q210" s="38">
        <f>(M210*References!$C$57+Opportunities!N210*References!$C$56)/100</f>
        <v>0</v>
      </c>
      <c r="R210" s="35">
        <f t="shared" si="25"/>
        <v>0</v>
      </c>
      <c r="S210" s="36">
        <f>O210/'Graphs&amp;Analysis'!$D$24</f>
        <v>0</v>
      </c>
      <c r="T210" s="153"/>
      <c r="U210" s="153"/>
      <c r="W210" s="13" t="str">
        <f t="shared" si="26"/>
        <v/>
      </c>
    </row>
    <row r="211" spans="1:23" ht="24.75" customHeight="1">
      <c r="A211" s="13" t="str">
        <f>IF(T211="YES",MAX($A$12:A210)+1,"")</f>
        <v/>
      </c>
      <c r="B211" s="20"/>
      <c r="C211" s="5" t="str">
        <f t="shared" si="27"/>
        <v>Buildings Category 5</v>
      </c>
      <c r="D211" s="5" t="s">
        <v>43</v>
      </c>
      <c r="E211" s="5" t="s">
        <v>53</v>
      </c>
      <c r="F211" s="152"/>
      <c r="G211" s="234"/>
      <c r="H211" s="232">
        <v>1</v>
      </c>
      <c r="I211" s="232"/>
      <c r="J211" s="232">
        <v>0.4</v>
      </c>
      <c r="K211" s="235">
        <v>500</v>
      </c>
      <c r="L211" s="78"/>
      <c r="M211" s="37">
        <f>F211*G211*H211*I211*Baseline!$F$27</f>
        <v>0</v>
      </c>
      <c r="N211" s="37">
        <f>F211*G211*H211*J211*Baseline!$G$27</f>
        <v>0</v>
      </c>
      <c r="O211" s="60">
        <f>(M211*References!$C$27+N211*References!$C$26)/1000</f>
        <v>0</v>
      </c>
      <c r="P211" s="38">
        <f t="shared" si="24"/>
        <v>0</v>
      </c>
      <c r="Q211" s="38">
        <f>(M211*References!$C$57+Opportunities!N211*References!$C$56)/100</f>
        <v>0</v>
      </c>
      <c r="R211" s="35">
        <f t="shared" si="25"/>
        <v>0</v>
      </c>
      <c r="S211" s="36">
        <f>O211/'Graphs&amp;Analysis'!$D$24</f>
        <v>0</v>
      </c>
      <c r="T211" s="153"/>
      <c r="U211" s="153"/>
      <c r="W211" s="13" t="str">
        <f t="shared" si="26"/>
        <v/>
      </c>
    </row>
    <row r="212" spans="1:23" ht="24.75" customHeight="1">
      <c r="A212" s="13" t="str">
        <f>IF(T212="YES",MAX($A$12:A211)+1,"")</f>
        <v/>
      </c>
      <c r="B212" s="20"/>
      <c r="C212" s="5" t="str">
        <f t="shared" si="27"/>
        <v>Buildings Category 5</v>
      </c>
      <c r="D212" s="5" t="s">
        <v>43</v>
      </c>
      <c r="E212" s="5" t="s">
        <v>54</v>
      </c>
      <c r="F212" s="152"/>
      <c r="G212" s="234"/>
      <c r="H212" s="232">
        <v>0.5</v>
      </c>
      <c r="I212" s="232">
        <v>0.2</v>
      </c>
      <c r="J212" s="232"/>
      <c r="K212" s="235">
        <v>500</v>
      </c>
      <c r="L212" s="78"/>
      <c r="M212" s="37">
        <f>F212*G212*H212*I212*Baseline!$F$27</f>
        <v>0</v>
      </c>
      <c r="N212" s="37">
        <f>F212*G212*H212*J212*Baseline!$G$27</f>
        <v>0</v>
      </c>
      <c r="O212" s="60">
        <f>(M212*References!$C$27+N212*References!$C$26)/1000</f>
        <v>0</v>
      </c>
      <c r="P212" s="38">
        <f t="shared" ref="P212:P217" si="28">O212*K212</f>
        <v>0</v>
      </c>
      <c r="Q212" s="38">
        <f>(M212*References!$C$57+Opportunities!N212*References!$C$56)/100</f>
        <v>0</v>
      </c>
      <c r="R212" s="35">
        <f t="shared" ref="R212:R217" si="29">IF(ISERROR(P212/Q212),0,P212/Q212)</f>
        <v>0</v>
      </c>
      <c r="S212" s="36">
        <f>O212/'Graphs&amp;Analysis'!$D$24</f>
        <v>0</v>
      </c>
      <c r="T212" s="153"/>
      <c r="U212" s="153"/>
      <c r="W212" s="13" t="str">
        <f t="shared" si="26"/>
        <v/>
      </c>
    </row>
    <row r="213" spans="1:23" ht="24.75" customHeight="1">
      <c r="A213" s="13" t="str">
        <f>IF(T213="YES",MAX($A$12:A212)+1,"")</f>
        <v/>
      </c>
      <c r="B213" s="20"/>
      <c r="C213" s="5" t="str">
        <f t="shared" si="27"/>
        <v>Buildings Category 5</v>
      </c>
      <c r="D213" s="5" t="s">
        <v>43</v>
      </c>
      <c r="E213" s="5" t="s">
        <v>45</v>
      </c>
      <c r="F213" s="152"/>
      <c r="G213" s="234"/>
      <c r="H213" s="232">
        <v>1</v>
      </c>
      <c r="I213" s="232"/>
      <c r="J213" s="232">
        <v>0.1</v>
      </c>
      <c r="K213" s="235">
        <v>503</v>
      </c>
      <c r="L213" s="78"/>
      <c r="M213" s="37">
        <f>F213*G213*H213*I213*Baseline!$F$27</f>
        <v>0</v>
      </c>
      <c r="N213" s="37">
        <f>F213*G213*H213*J213*Baseline!$G$27</f>
        <v>0</v>
      </c>
      <c r="O213" s="60">
        <f>(M213*References!$C$27+N213*References!$C$26)/1000</f>
        <v>0</v>
      </c>
      <c r="P213" s="38">
        <f t="shared" si="28"/>
        <v>0</v>
      </c>
      <c r="Q213" s="38">
        <f>(M213*References!$C$57+Opportunities!N213*References!$C$56)/100</f>
        <v>0</v>
      </c>
      <c r="R213" s="35">
        <f t="shared" si="29"/>
        <v>0</v>
      </c>
      <c r="S213" s="36">
        <f>O213/'Graphs&amp;Analysis'!$D$24</f>
        <v>0</v>
      </c>
      <c r="T213" s="153"/>
      <c r="U213" s="153"/>
      <c r="W213" s="13" t="str">
        <f t="shared" si="26"/>
        <v/>
      </c>
    </row>
    <row r="214" spans="1:23" ht="24.75" customHeight="1">
      <c r="A214" s="13" t="str">
        <f>IF(T214="YES",MAX($A$12:A213)+1,"")</f>
        <v/>
      </c>
      <c r="B214" s="20"/>
      <c r="C214" s="5" t="str">
        <f t="shared" si="27"/>
        <v>Buildings Category 5</v>
      </c>
      <c r="D214" s="5" t="s">
        <v>41</v>
      </c>
      <c r="E214" s="5" t="s">
        <v>42</v>
      </c>
      <c r="F214" s="152"/>
      <c r="G214" s="234"/>
      <c r="H214" s="232">
        <v>0.15</v>
      </c>
      <c r="I214" s="232"/>
      <c r="J214" s="232">
        <v>0.35</v>
      </c>
      <c r="K214" s="235">
        <v>458</v>
      </c>
      <c r="L214" s="78"/>
      <c r="M214" s="37">
        <f>F214*G214*H214*I214*Baseline!$F$27</f>
        <v>0</v>
      </c>
      <c r="N214" s="37">
        <f>F214*G214*H214*J214*Baseline!$G$27</f>
        <v>0</v>
      </c>
      <c r="O214" s="60">
        <f>(M214*References!$C$27+N214*References!$C$26)/1000</f>
        <v>0</v>
      </c>
      <c r="P214" s="38">
        <f t="shared" si="28"/>
        <v>0</v>
      </c>
      <c r="Q214" s="38">
        <f>(M214*References!$C$57+Opportunities!N214*References!$C$56)/100</f>
        <v>0</v>
      </c>
      <c r="R214" s="35">
        <f t="shared" si="29"/>
        <v>0</v>
      </c>
      <c r="S214" s="36">
        <f>O214/'Graphs&amp;Analysis'!$D$24</f>
        <v>0</v>
      </c>
      <c r="T214" s="153"/>
      <c r="U214" s="153"/>
      <c r="W214" s="13" t="str">
        <f t="shared" si="26"/>
        <v/>
      </c>
    </row>
    <row r="215" spans="1:23" ht="24.75" customHeight="1">
      <c r="A215" s="13" t="str">
        <f>IF(T215="YES",MAX($A$12:A214)+1,"")</f>
        <v/>
      </c>
      <c r="B215" s="20"/>
      <c r="C215" s="5" t="str">
        <f t="shared" si="27"/>
        <v>Buildings Category 5</v>
      </c>
      <c r="D215" s="5" t="s">
        <v>220</v>
      </c>
      <c r="E215" s="222" t="s">
        <v>221</v>
      </c>
      <c r="F215" s="152"/>
      <c r="G215" s="234"/>
      <c r="H215" s="233">
        <v>1</v>
      </c>
      <c r="I215" s="233">
        <v>0.01</v>
      </c>
      <c r="J215" s="231"/>
      <c r="K215" s="235">
        <v>121</v>
      </c>
      <c r="L215" s="78"/>
      <c r="M215" s="37">
        <f>F215*G215*H215*I215*Baseline!$F$27</f>
        <v>0</v>
      </c>
      <c r="N215" s="37">
        <f>F215*G215*H215*J215*Baseline!$G$27</f>
        <v>0</v>
      </c>
      <c r="O215" s="60">
        <f>(M215*References!$C$27+N215*References!$C$26)/1000</f>
        <v>0</v>
      </c>
      <c r="P215" s="38">
        <f t="shared" si="28"/>
        <v>0</v>
      </c>
      <c r="Q215" s="38">
        <f>(M215*References!$C$57+Opportunities!N215*References!$C$56)/100</f>
        <v>0</v>
      </c>
      <c r="R215" s="35">
        <f t="shared" si="29"/>
        <v>0</v>
      </c>
      <c r="S215" s="36">
        <f>O215/'Graphs&amp;Analysis'!$D$24</f>
        <v>0</v>
      </c>
      <c r="T215" s="153"/>
      <c r="U215" s="153"/>
      <c r="W215" s="13" t="str">
        <f t="shared" si="26"/>
        <v/>
      </c>
    </row>
    <row r="216" spans="1:23" ht="24.75" customHeight="1">
      <c r="A216" s="13" t="str">
        <f>IF(T216="YES",MAX($A$12:A215)+1,"")</f>
        <v/>
      </c>
      <c r="B216" s="20"/>
      <c r="C216" s="5" t="str">
        <f t="shared" si="27"/>
        <v>Buildings Category 5</v>
      </c>
      <c r="D216" s="5" t="s">
        <v>220</v>
      </c>
      <c r="E216" s="223" t="s">
        <v>222</v>
      </c>
      <c r="F216" s="152"/>
      <c r="G216" s="234"/>
      <c r="H216" s="233">
        <v>1</v>
      </c>
      <c r="I216" s="233">
        <v>7.0000000000000007E-2</v>
      </c>
      <c r="J216" s="231"/>
      <c r="K216" s="235">
        <v>500</v>
      </c>
      <c r="L216" s="78"/>
      <c r="M216" s="37">
        <f>F216*G216*H216*I216*Baseline!$F$27</f>
        <v>0</v>
      </c>
      <c r="N216" s="37">
        <f>F216*G216*H216*J216*Baseline!$G$27</f>
        <v>0</v>
      </c>
      <c r="O216" s="60">
        <f>(M216*References!$C$27+N216*References!$C$26)/1000</f>
        <v>0</v>
      </c>
      <c r="P216" s="38">
        <f t="shared" si="28"/>
        <v>0</v>
      </c>
      <c r="Q216" s="38">
        <f>(M216*References!$C$57+Opportunities!N216*References!$C$56)/100</f>
        <v>0</v>
      </c>
      <c r="R216" s="35">
        <f t="shared" si="29"/>
        <v>0</v>
      </c>
      <c r="S216" s="36">
        <f>O216/'Graphs&amp;Analysis'!$D$24</f>
        <v>0</v>
      </c>
      <c r="T216" s="153"/>
      <c r="U216" s="153"/>
      <c r="W216" s="13" t="str">
        <f t="shared" si="26"/>
        <v/>
      </c>
    </row>
    <row r="217" spans="1:23" ht="24.75" customHeight="1">
      <c r="A217" s="13" t="str">
        <f>IF(T217="YES",MAX($A$12:A216)+1,"")</f>
        <v/>
      </c>
      <c r="B217" s="20"/>
      <c r="C217" s="5" t="str">
        <f t="shared" si="27"/>
        <v>Buildings Category 5</v>
      </c>
      <c r="D217" s="5" t="s">
        <v>220</v>
      </c>
      <c r="E217" s="224" t="s">
        <v>223</v>
      </c>
      <c r="F217" s="152"/>
      <c r="G217" s="234"/>
      <c r="H217" s="233">
        <v>1</v>
      </c>
      <c r="I217" s="233">
        <v>0.02</v>
      </c>
      <c r="J217" s="231"/>
      <c r="K217" s="235">
        <v>153</v>
      </c>
      <c r="L217" s="78"/>
      <c r="M217" s="37">
        <f>F217*G217*H217*I217*Baseline!$F$27</f>
        <v>0</v>
      </c>
      <c r="N217" s="37">
        <f>F217*G217*H217*J217*Baseline!$G$27</f>
        <v>0</v>
      </c>
      <c r="O217" s="60">
        <f>(M217*References!$C$27+N217*References!$C$26)/1000</f>
        <v>0</v>
      </c>
      <c r="P217" s="38">
        <f t="shared" si="28"/>
        <v>0</v>
      </c>
      <c r="Q217" s="38">
        <f>(M217*References!$C$57+Opportunities!N217*References!$C$56)/100</f>
        <v>0</v>
      </c>
      <c r="R217" s="35">
        <f t="shared" si="29"/>
        <v>0</v>
      </c>
      <c r="S217" s="36">
        <f>O217/'Graphs&amp;Analysis'!$D$24</f>
        <v>0</v>
      </c>
      <c r="T217" s="153"/>
      <c r="U217" s="153"/>
      <c r="W217" s="13" t="str">
        <f t="shared" si="26"/>
        <v/>
      </c>
    </row>
    <row r="218" spans="1:23" ht="24.75" customHeight="1">
      <c r="A218" s="13" t="str">
        <f>IF(T218="YES",MAX($A$12:A217)+1,"")</f>
        <v/>
      </c>
      <c r="B218" s="20"/>
      <c r="C218" s="5" t="str">
        <f>C211</f>
        <v>Buildings Category 5</v>
      </c>
      <c r="D218" s="5" t="s">
        <v>52</v>
      </c>
      <c r="E218" s="5"/>
      <c r="F218" s="152"/>
      <c r="G218" s="234"/>
      <c r="H218" s="8"/>
      <c r="I218" s="8"/>
      <c r="J218" s="8"/>
      <c r="K218" s="29">
        <v>500</v>
      </c>
      <c r="L218" s="78"/>
      <c r="M218" s="37">
        <f>F218*G218*H218*I218*Baseline!$F$27</f>
        <v>0</v>
      </c>
      <c r="N218" s="37">
        <f>F218*G218*H218*J218*Baseline!$G$27</f>
        <v>0</v>
      </c>
      <c r="O218" s="60">
        <f>(M218*References!$C$27+N218*References!$C$26)/1000</f>
        <v>0</v>
      </c>
      <c r="P218" s="38">
        <f t="shared" si="24"/>
        <v>0</v>
      </c>
      <c r="Q218" s="38">
        <f>(M218*References!$C$57+Opportunities!N218*References!$C$56)/100</f>
        <v>0</v>
      </c>
      <c r="R218" s="35">
        <f t="shared" si="25"/>
        <v>0</v>
      </c>
      <c r="S218" s="36">
        <f>O218/'Graphs&amp;Analysis'!$D$24</f>
        <v>0</v>
      </c>
      <c r="T218" s="153"/>
      <c r="U218" s="153"/>
      <c r="W218" s="13" t="str">
        <f t="shared" si="26"/>
        <v/>
      </c>
    </row>
    <row r="219" spans="1:23" ht="24.75" customHeight="1">
      <c r="A219" s="13" t="str">
        <f>IF(T219="YES",MAX($A$12:A218)+1,"")</f>
        <v/>
      </c>
      <c r="B219" s="20"/>
      <c r="C219" s="5" t="str">
        <f t="shared" si="27"/>
        <v>Buildings Category 5</v>
      </c>
      <c r="D219" s="5" t="s">
        <v>52</v>
      </c>
      <c r="E219" s="5"/>
      <c r="F219" s="152"/>
      <c r="G219" s="234"/>
      <c r="H219" s="8"/>
      <c r="I219" s="8"/>
      <c r="J219" s="8"/>
      <c r="K219" s="29">
        <v>500</v>
      </c>
      <c r="L219" s="78"/>
      <c r="M219" s="37">
        <f>F219*G219*H219*I219*Baseline!$F$27</f>
        <v>0</v>
      </c>
      <c r="N219" s="37">
        <f>F219*G219*H219*J219*Baseline!$G$27</f>
        <v>0</v>
      </c>
      <c r="O219" s="60">
        <f>(M219*References!$C$27+N219*References!$C$26)/1000</f>
        <v>0</v>
      </c>
      <c r="P219" s="38">
        <f t="shared" si="24"/>
        <v>0</v>
      </c>
      <c r="Q219" s="38">
        <f>(M219*References!$C$57+Opportunities!N219*References!$C$56)/100</f>
        <v>0</v>
      </c>
      <c r="R219" s="35">
        <f t="shared" si="25"/>
        <v>0</v>
      </c>
      <c r="S219" s="36">
        <f>O219/'Graphs&amp;Analysis'!$D$24</f>
        <v>0</v>
      </c>
      <c r="T219" s="153"/>
      <c r="U219" s="153"/>
      <c r="W219" s="13" t="str">
        <f t="shared" si="26"/>
        <v/>
      </c>
    </row>
    <row r="220" spans="1:23" ht="24.75" customHeight="1">
      <c r="A220" s="13" t="str">
        <f>IF(T220="YES",MAX($A$12:A219)+1,"")</f>
        <v/>
      </c>
      <c r="B220" s="20"/>
      <c r="C220" s="5" t="str">
        <f t="shared" si="27"/>
        <v>Buildings Category 5</v>
      </c>
      <c r="D220" s="5" t="s">
        <v>52</v>
      </c>
      <c r="E220" s="5"/>
      <c r="F220" s="152"/>
      <c r="G220" s="234"/>
      <c r="H220" s="8"/>
      <c r="I220" s="8"/>
      <c r="J220" s="8"/>
      <c r="K220" s="29">
        <v>500</v>
      </c>
      <c r="L220" s="78"/>
      <c r="M220" s="37">
        <f>F220*G220*H220*I220*Baseline!$F$27</f>
        <v>0</v>
      </c>
      <c r="N220" s="37">
        <f>F220*G220*H220*J220*Baseline!$G$27</f>
        <v>0</v>
      </c>
      <c r="O220" s="60">
        <f>(M220*References!$C$27+N220*References!$C$26)/1000</f>
        <v>0</v>
      </c>
      <c r="P220" s="38">
        <f t="shared" si="24"/>
        <v>0</v>
      </c>
      <c r="Q220" s="38">
        <f>(M220*References!$C$57+Opportunities!N220*References!$C$56)/100</f>
        <v>0</v>
      </c>
      <c r="R220" s="35">
        <f t="shared" si="25"/>
        <v>0</v>
      </c>
      <c r="S220" s="36">
        <f>O220/'Graphs&amp;Analysis'!$D$24</f>
        <v>0</v>
      </c>
      <c r="T220" s="153"/>
      <c r="U220" s="153"/>
      <c r="W220" s="13" t="str">
        <f t="shared" si="26"/>
        <v/>
      </c>
    </row>
    <row r="221" spans="1:23" ht="24.75" customHeight="1">
      <c r="A221" s="13" t="str">
        <f>IF(T221="YES",MAX($A$12:A220)+1,"")</f>
        <v/>
      </c>
      <c r="C221" s="23"/>
      <c r="D221" s="23"/>
      <c r="E221" s="79"/>
      <c r="F221" s="23"/>
      <c r="G221" s="79"/>
      <c r="H221" s="79"/>
      <c r="I221" s="74"/>
      <c r="J221" s="23"/>
      <c r="K221" s="23"/>
      <c r="M221" s="23"/>
      <c r="N221" s="23"/>
      <c r="O221" s="23"/>
      <c r="P221" s="23"/>
      <c r="Q221" s="23"/>
      <c r="R221" s="23"/>
      <c r="S221" s="23"/>
      <c r="T221" s="23"/>
      <c r="U221" s="23"/>
    </row>
    <row r="222" spans="1:23" ht="24.75" customHeight="1">
      <c r="A222" s="13" t="str">
        <f>IF(T222="YES",MAX($A$12:A221)+1,"")</f>
        <v/>
      </c>
      <c r="B222" s="252" t="s">
        <v>128</v>
      </c>
      <c r="C222" s="252"/>
      <c r="G222" s="16"/>
      <c r="H222" s="16"/>
      <c r="I222" s="67"/>
      <c r="K222" s="68" t="s">
        <v>3</v>
      </c>
      <c r="L222" s="68"/>
      <c r="M222" s="69">
        <f>SUM(M185:M221)</f>
        <v>0</v>
      </c>
      <c r="N222" s="69">
        <f>SUM(N185:N221)</f>
        <v>0</v>
      </c>
      <c r="O222" s="69">
        <f>SUM(O185:O221)</f>
        <v>0</v>
      </c>
    </row>
    <row r="223" spans="1:23" ht="24.75" customHeight="1">
      <c r="A223" s="13" t="str">
        <f>IF(T223="YES",MAX($A$12:A222)+1,"")</f>
        <v/>
      </c>
      <c r="G223" s="16"/>
      <c r="H223" s="16"/>
      <c r="I223" s="67"/>
      <c r="K223" s="68" t="str">
        <f>CONCATENATE("Savings as a % of  ",C189," emissions")</f>
        <v>Savings as a % of  Buildings Category 5 emissions</v>
      </c>
      <c r="L223" s="68"/>
      <c r="M223" s="186" t="e">
        <f>M222/Baseline!F27</f>
        <v>#DIV/0!</v>
      </c>
      <c r="N223" s="186" t="e">
        <f>N222/Baseline!G27</f>
        <v>#DIV/0!</v>
      </c>
      <c r="O223" s="186" t="e">
        <f>O222/Baseline!H27</f>
        <v>#DIV/0!</v>
      </c>
    </row>
    <row r="224" spans="1:23">
      <c r="A224" s="13" t="str">
        <f>IF(T224="YES",MAX($A$12:A223)+1,"")</f>
        <v/>
      </c>
    </row>
    <row r="225" spans="1:24">
      <c r="A225" s="13" t="str">
        <f>IF(T225="YES",MAX($A$12:A224)+1,"")</f>
        <v/>
      </c>
    </row>
    <row r="226" spans="1:24">
      <c r="A226" s="13" t="str">
        <f>IF(T226="YES",MAX($A$12:A225)+1,"")</f>
        <v/>
      </c>
      <c r="B226" s="66" t="s">
        <v>194</v>
      </c>
      <c r="C226" s="73"/>
      <c r="D226" s="22"/>
      <c r="E226" s="237"/>
      <c r="F226" s="22"/>
      <c r="G226" s="22"/>
      <c r="H226" s="22"/>
      <c r="I226" s="22"/>
      <c r="J226" s="22"/>
      <c r="K226" s="22"/>
      <c r="M226" s="22"/>
      <c r="N226" s="22"/>
      <c r="O226" s="22"/>
      <c r="P226" s="22"/>
      <c r="Q226" s="22"/>
      <c r="R226" s="22"/>
      <c r="S226" s="22"/>
      <c r="T226" s="22"/>
      <c r="U226" s="22"/>
    </row>
    <row r="227" spans="1:24" ht="24.75" customHeight="1">
      <c r="A227" s="13" t="str">
        <f>IF(T227="YES",MAX($A$12:A226)+1,"")</f>
        <v/>
      </c>
      <c r="B227" s="20"/>
      <c r="C227" s="1" t="s">
        <v>151</v>
      </c>
      <c r="D227" s="1" t="s">
        <v>5</v>
      </c>
      <c r="E227" s="1" t="s">
        <v>6</v>
      </c>
      <c r="F227" s="1" t="s">
        <v>7</v>
      </c>
      <c r="G227" s="1" t="s">
        <v>8</v>
      </c>
      <c r="H227" s="1" t="s">
        <v>9</v>
      </c>
      <c r="I227" s="1" t="s">
        <v>10</v>
      </c>
      <c r="J227" s="1" t="s">
        <v>11</v>
      </c>
      <c r="K227" s="1" t="s">
        <v>109</v>
      </c>
      <c r="L227" s="75"/>
      <c r="M227" s="1" t="s">
        <v>12</v>
      </c>
      <c r="N227" s="1" t="s">
        <v>13</v>
      </c>
      <c r="O227" s="1" t="s">
        <v>14</v>
      </c>
      <c r="P227" s="1" t="s">
        <v>108</v>
      </c>
      <c r="Q227" s="1" t="s">
        <v>111</v>
      </c>
      <c r="R227" s="1" t="s">
        <v>150</v>
      </c>
      <c r="S227" s="1" t="s">
        <v>77</v>
      </c>
      <c r="T227" s="1" t="s">
        <v>110</v>
      </c>
      <c r="U227" s="1" t="s">
        <v>160</v>
      </c>
    </row>
    <row r="228" spans="1:24">
      <c r="A228" s="13" t="str">
        <f>IF(T228="YES",MAX($A$12:A227)+1,"")</f>
        <v/>
      </c>
      <c r="B228" s="20"/>
      <c r="C228" s="5" t="str">
        <f>Baseline!C45</f>
        <v>Buildings Category 6</v>
      </c>
      <c r="D228" s="5" t="s">
        <v>15</v>
      </c>
      <c r="E228" s="5" t="s">
        <v>16</v>
      </c>
      <c r="F228" s="152"/>
      <c r="G228" s="234"/>
      <c r="H228" s="233">
        <v>2.9411764705882346E-2</v>
      </c>
      <c r="I228" s="231"/>
      <c r="J228" s="233">
        <v>0.05</v>
      </c>
      <c r="K228" s="235">
        <v>500</v>
      </c>
      <c r="L228" s="78"/>
      <c r="M228" s="37">
        <f>F228*G228*H228*I228*Baseline!$F$28</f>
        <v>0</v>
      </c>
      <c r="N228" s="37">
        <f>F228*G228*H228*J228*Baseline!$G$28</f>
        <v>0</v>
      </c>
      <c r="O228" s="60">
        <f>(M228*References!$C$27+N228*References!$C$26)/1000</f>
        <v>0</v>
      </c>
      <c r="P228" s="38">
        <f t="shared" ref="P228:P263" si="30">O228*K228</f>
        <v>0</v>
      </c>
      <c r="Q228" s="38">
        <f>(M228*References!$C$57+Opportunities!N228*References!$C$56)/100</f>
        <v>0</v>
      </c>
      <c r="R228" s="35">
        <f t="shared" ref="R228:R263" si="31">IF(ISERROR(P228/Q228),0,P228/Q228)</f>
        <v>0</v>
      </c>
      <c r="S228" s="36">
        <f>O228/'Graphs&amp;Analysis'!$D$24</f>
        <v>0</v>
      </c>
      <c r="T228" s="153"/>
      <c r="U228" s="153"/>
      <c r="W228" s="13" t="str">
        <f t="shared" ref="W228:W263" si="32">IF(O228&gt;0,"Buildings","")</f>
        <v/>
      </c>
    </row>
    <row r="229" spans="1:24" ht="25.5">
      <c r="A229" s="13" t="str">
        <f>IF(T229="YES",MAX($A$12:A228)+1,"")</f>
        <v/>
      </c>
      <c r="B229" s="20"/>
      <c r="C229" s="5" t="str">
        <f>C228</f>
        <v>Buildings Category 6</v>
      </c>
      <c r="D229" s="5" t="s">
        <v>17</v>
      </c>
      <c r="E229" s="5" t="s">
        <v>18</v>
      </c>
      <c r="F229" s="152"/>
      <c r="G229" s="234"/>
      <c r="H229" s="233">
        <v>2.9411764705882346E-2</v>
      </c>
      <c r="I229" s="231"/>
      <c r="J229" s="233">
        <v>0.05</v>
      </c>
      <c r="K229" s="235">
        <v>500</v>
      </c>
      <c r="L229" s="77"/>
      <c r="M229" s="37">
        <f>F229*G229*H229*I229*Baseline!$F$28</f>
        <v>0</v>
      </c>
      <c r="N229" s="37">
        <f>F229*G229*H229*J229*Baseline!$G$28</f>
        <v>0</v>
      </c>
      <c r="O229" s="60">
        <f>(M229*References!$C$27+N229*References!$C$26)/1000</f>
        <v>0</v>
      </c>
      <c r="P229" s="38">
        <f t="shared" si="30"/>
        <v>0</v>
      </c>
      <c r="Q229" s="38">
        <f>(M229*References!$C$57+Opportunities!N229*References!$C$56)/100</f>
        <v>0</v>
      </c>
      <c r="R229" s="35">
        <f t="shared" si="31"/>
        <v>0</v>
      </c>
      <c r="S229" s="36">
        <f>O229/'Graphs&amp;Analysis'!$D$24</f>
        <v>0</v>
      </c>
      <c r="T229" s="153"/>
      <c r="U229" s="153"/>
      <c r="W229" s="13" t="str">
        <f t="shared" si="32"/>
        <v/>
      </c>
    </row>
    <row r="230" spans="1:24" s="182" customFormat="1">
      <c r="A230" s="13" t="str">
        <f>IF(T230="YES",MAX($A$12:A229)+1,"")</f>
        <v/>
      </c>
      <c r="B230" s="20"/>
      <c r="C230" s="5" t="str">
        <f t="shared" ref="C230:C263" si="33">C229</f>
        <v>Buildings Category 6</v>
      </c>
      <c r="D230" s="5" t="s">
        <v>24</v>
      </c>
      <c r="E230" s="5" t="s">
        <v>24</v>
      </c>
      <c r="F230" s="152"/>
      <c r="G230" s="234"/>
      <c r="H230" s="233">
        <v>0.5</v>
      </c>
      <c r="I230" s="233">
        <v>0.05</v>
      </c>
      <c r="J230" s="233">
        <v>0.02</v>
      </c>
      <c r="K230" s="235">
        <v>470</v>
      </c>
      <c r="L230" s="77"/>
      <c r="M230" s="37">
        <f>F230*G230*H230*I230*Baseline!$F$28</f>
        <v>0</v>
      </c>
      <c r="N230" s="37">
        <f>F230*G230*H230*J230*Baseline!$G$28</f>
        <v>0</v>
      </c>
      <c r="O230" s="60">
        <f>(M230*References!$C$27+N230*References!$C$26)/1000</f>
        <v>0</v>
      </c>
      <c r="P230" s="38">
        <f t="shared" si="30"/>
        <v>0</v>
      </c>
      <c r="Q230" s="38">
        <f>(M230*References!$C$57+Opportunities!N230*References!$C$56)/100</f>
        <v>0</v>
      </c>
      <c r="R230" s="35">
        <f t="shared" si="31"/>
        <v>0</v>
      </c>
      <c r="S230" s="36">
        <f>O230/'Graphs&amp;Analysis'!$D$24</f>
        <v>0</v>
      </c>
      <c r="T230" s="153"/>
      <c r="U230" s="153"/>
      <c r="V230" s="13"/>
      <c r="W230" s="13" t="str">
        <f t="shared" si="32"/>
        <v/>
      </c>
      <c r="X230" s="13"/>
    </row>
    <row r="231" spans="1:24" ht="14.25" customHeight="1">
      <c r="A231" s="13" t="str">
        <f>IF(T231="YES",MAX($A$12:A230)+1,"")</f>
        <v/>
      </c>
      <c r="B231" s="20"/>
      <c r="C231" s="5" t="str">
        <f t="shared" si="33"/>
        <v>Buildings Category 6</v>
      </c>
      <c r="D231" s="5" t="s">
        <v>25</v>
      </c>
      <c r="E231" s="5" t="s">
        <v>26</v>
      </c>
      <c r="F231" s="152"/>
      <c r="G231" s="234"/>
      <c r="H231" s="233">
        <v>0.5</v>
      </c>
      <c r="I231" s="233">
        <v>0.05</v>
      </c>
      <c r="J231" s="233">
        <v>0.02</v>
      </c>
      <c r="K231" s="235">
        <v>427</v>
      </c>
      <c r="L231" s="77"/>
      <c r="M231" s="37">
        <f>F231*G231*H231*I231*Baseline!$F$28</f>
        <v>0</v>
      </c>
      <c r="N231" s="37">
        <f>F231*G231*H231*J231*Baseline!$G$28</f>
        <v>0</v>
      </c>
      <c r="O231" s="60">
        <f>(M231*References!$C$27+N231*References!$C$26)/1000</f>
        <v>0</v>
      </c>
      <c r="P231" s="38">
        <f t="shared" si="30"/>
        <v>0</v>
      </c>
      <c r="Q231" s="38">
        <f>(M231*References!$C$57+Opportunities!N231*References!$C$56)/100</f>
        <v>0</v>
      </c>
      <c r="R231" s="35">
        <f t="shared" si="31"/>
        <v>0</v>
      </c>
      <c r="S231" s="36">
        <f>O231/'Graphs&amp;Analysis'!$D$24</f>
        <v>0</v>
      </c>
      <c r="T231" s="153"/>
      <c r="U231" s="153"/>
      <c r="W231" s="13" t="str">
        <f t="shared" si="32"/>
        <v/>
      </c>
    </row>
    <row r="232" spans="1:24" ht="38.25" customHeight="1">
      <c r="A232" s="13" t="str">
        <f>IF(T232="YES",MAX($A$12:A231)+1,"")</f>
        <v/>
      </c>
      <c r="B232" s="20"/>
      <c r="C232" s="5" t="str">
        <f t="shared" si="33"/>
        <v>Buildings Category 6</v>
      </c>
      <c r="D232" s="5" t="s">
        <v>19</v>
      </c>
      <c r="E232" s="5" t="s">
        <v>22</v>
      </c>
      <c r="F232" s="152"/>
      <c r="G232" s="234"/>
      <c r="H232" s="233">
        <v>0.93939393939393934</v>
      </c>
      <c r="I232" s="232">
        <v>0.05</v>
      </c>
      <c r="J232" s="231"/>
      <c r="K232" s="235">
        <v>628</v>
      </c>
      <c r="L232" s="77"/>
      <c r="M232" s="37">
        <f>F232*G232*H232*I232*Baseline!$F$28</f>
        <v>0</v>
      </c>
      <c r="N232" s="37">
        <f>F232*G232*H232*J232*Baseline!$G$28</f>
        <v>0</v>
      </c>
      <c r="O232" s="60">
        <f>(M232*References!$C$27+N232*References!$C$26)/1000</f>
        <v>0</v>
      </c>
      <c r="P232" s="38">
        <f t="shared" si="30"/>
        <v>0</v>
      </c>
      <c r="Q232" s="38">
        <f>(M232*References!$C$57+Opportunities!N232*References!$C$56)/100</f>
        <v>0</v>
      </c>
      <c r="R232" s="35">
        <f t="shared" si="31"/>
        <v>0</v>
      </c>
      <c r="S232" s="36">
        <f>O232/'Graphs&amp;Analysis'!$D$24</f>
        <v>0</v>
      </c>
      <c r="T232" s="153"/>
      <c r="U232" s="153"/>
      <c r="W232" s="13" t="str">
        <f t="shared" si="32"/>
        <v/>
      </c>
    </row>
    <row r="233" spans="1:24">
      <c r="A233" s="13" t="str">
        <f>IF(T233="YES",MAX($A$12:A232)+1,"")</f>
        <v/>
      </c>
      <c r="B233" s="20"/>
      <c r="C233" s="5" t="str">
        <f t="shared" si="33"/>
        <v>Buildings Category 6</v>
      </c>
      <c r="D233" s="5" t="s">
        <v>19</v>
      </c>
      <c r="E233" s="5" t="s">
        <v>23</v>
      </c>
      <c r="F233" s="152"/>
      <c r="G233" s="234"/>
      <c r="H233" s="233">
        <v>0.93939393939393934</v>
      </c>
      <c r="I233" s="232">
        <v>0.1</v>
      </c>
      <c r="J233" s="231"/>
      <c r="K233" s="235">
        <v>574</v>
      </c>
      <c r="L233" s="77"/>
      <c r="M233" s="37">
        <f>F233*G233*H233*I233*Baseline!$F$28</f>
        <v>0</v>
      </c>
      <c r="N233" s="37">
        <f>F233*G233*H233*J233*Baseline!$G$28</f>
        <v>0</v>
      </c>
      <c r="O233" s="60">
        <f>(M233*References!$C$27+N233*References!$C$26)/1000</f>
        <v>0</v>
      </c>
      <c r="P233" s="38">
        <f t="shared" si="30"/>
        <v>0</v>
      </c>
      <c r="Q233" s="38">
        <f>(M233*References!$C$57+Opportunities!N233*References!$C$56)/100</f>
        <v>0</v>
      </c>
      <c r="R233" s="35">
        <f t="shared" si="31"/>
        <v>0</v>
      </c>
      <c r="S233" s="36">
        <f>O233/'Graphs&amp;Analysis'!$D$24</f>
        <v>0</v>
      </c>
      <c r="T233" s="153"/>
      <c r="U233" s="153"/>
      <c r="W233" s="13" t="str">
        <f t="shared" si="32"/>
        <v/>
      </c>
    </row>
    <row r="234" spans="1:24">
      <c r="A234" s="13" t="str">
        <f>IF(T234="YES",MAX($A$12:A233)+1,"")</f>
        <v/>
      </c>
      <c r="B234" s="20"/>
      <c r="C234" s="5" t="str">
        <f t="shared" si="33"/>
        <v>Buildings Category 6</v>
      </c>
      <c r="D234" s="5" t="s">
        <v>19</v>
      </c>
      <c r="E234" s="5" t="s">
        <v>21</v>
      </c>
      <c r="F234" s="152"/>
      <c r="G234" s="234"/>
      <c r="H234" s="233">
        <v>0.93939393939393934</v>
      </c>
      <c r="I234" s="232">
        <v>0.05</v>
      </c>
      <c r="J234" s="231"/>
      <c r="K234" s="235">
        <v>566</v>
      </c>
      <c r="L234" s="77"/>
      <c r="M234" s="37">
        <f>F234*G234*H234*I234*Baseline!$F$28</f>
        <v>0</v>
      </c>
      <c r="N234" s="37">
        <f>F234*G234*H234*J234*Baseline!$G$28</f>
        <v>0</v>
      </c>
      <c r="O234" s="60">
        <f>(M234*References!$C$27+N234*References!$C$26)/1000</f>
        <v>0</v>
      </c>
      <c r="P234" s="38">
        <f t="shared" si="30"/>
        <v>0</v>
      </c>
      <c r="Q234" s="38">
        <f>(M234*References!$C$57+Opportunities!N234*References!$C$56)/100</f>
        <v>0</v>
      </c>
      <c r="R234" s="35">
        <f t="shared" si="31"/>
        <v>0</v>
      </c>
      <c r="S234" s="36">
        <f>O234/'Graphs&amp;Analysis'!$D$24</f>
        <v>0</v>
      </c>
      <c r="T234" s="153"/>
      <c r="U234" s="153"/>
      <c r="W234" s="13" t="str">
        <f t="shared" si="32"/>
        <v/>
      </c>
    </row>
    <row r="235" spans="1:24">
      <c r="A235" s="13" t="str">
        <f>IF(T235="YES",MAX($A$12:A234)+1,"")</f>
        <v/>
      </c>
      <c r="B235" s="20"/>
      <c r="C235" s="5" t="str">
        <f t="shared" si="33"/>
        <v>Buildings Category 6</v>
      </c>
      <c r="D235" s="5" t="s">
        <v>19</v>
      </c>
      <c r="E235" s="5" t="s">
        <v>20</v>
      </c>
      <c r="F235" s="152"/>
      <c r="G235" s="234"/>
      <c r="H235" s="233">
        <v>0.93939393939393934</v>
      </c>
      <c r="I235" s="232">
        <v>0.1</v>
      </c>
      <c r="J235" s="231"/>
      <c r="K235" s="235">
        <v>750</v>
      </c>
      <c r="L235" s="77"/>
      <c r="M235" s="37">
        <f>F235*G235*H235*I235*Baseline!$F$28</f>
        <v>0</v>
      </c>
      <c r="N235" s="37">
        <f>F235*G235*H235*J235*Baseline!$G$28</f>
        <v>0</v>
      </c>
      <c r="O235" s="60">
        <f>(M235*References!$C$27+N235*References!$C$26)/1000</f>
        <v>0</v>
      </c>
      <c r="P235" s="38">
        <f t="shared" si="30"/>
        <v>0</v>
      </c>
      <c r="Q235" s="38">
        <f>(M235*References!$C$57+Opportunities!N235*References!$C$56)/100</f>
        <v>0</v>
      </c>
      <c r="R235" s="35">
        <f t="shared" si="31"/>
        <v>0</v>
      </c>
      <c r="S235" s="36">
        <f>O235/'Graphs&amp;Analysis'!$D$24</f>
        <v>0</v>
      </c>
      <c r="T235" s="153"/>
      <c r="U235" s="153"/>
      <c r="W235" s="13" t="str">
        <f t="shared" si="32"/>
        <v/>
      </c>
    </row>
    <row r="236" spans="1:24" ht="25.5">
      <c r="A236" s="13" t="str">
        <f>IF(T236="YES",MAX($A$12:A235)+1,"")</f>
        <v/>
      </c>
      <c r="B236" s="20"/>
      <c r="C236" s="5" t="str">
        <f t="shared" si="33"/>
        <v>Buildings Category 6</v>
      </c>
      <c r="D236" s="5" t="s">
        <v>29</v>
      </c>
      <c r="E236" s="5" t="s">
        <v>30</v>
      </c>
      <c r="F236" s="152"/>
      <c r="G236" s="234"/>
      <c r="H236" s="233">
        <v>0.93939393939393934</v>
      </c>
      <c r="I236" s="232">
        <v>0.15</v>
      </c>
      <c r="J236" s="231"/>
      <c r="K236" s="235">
        <v>641</v>
      </c>
      <c r="L236" s="77"/>
      <c r="M236" s="37">
        <f>F236*G236*H236*I236*Baseline!$F$28</f>
        <v>0</v>
      </c>
      <c r="N236" s="37">
        <f>F236*G236*H236*J236*Baseline!$G$28</f>
        <v>0</v>
      </c>
      <c r="O236" s="60">
        <f>(M236*References!$C$27+N236*References!$C$26)/1000</f>
        <v>0</v>
      </c>
      <c r="P236" s="38">
        <f t="shared" si="30"/>
        <v>0</v>
      </c>
      <c r="Q236" s="38">
        <f>(M236*References!$C$57+Opportunities!N236*References!$C$56)/100</f>
        <v>0</v>
      </c>
      <c r="R236" s="35">
        <f t="shared" si="31"/>
        <v>0</v>
      </c>
      <c r="S236" s="36">
        <f>O236/'Graphs&amp;Analysis'!$D$24</f>
        <v>0</v>
      </c>
      <c r="T236" s="153"/>
      <c r="U236" s="153"/>
      <c r="W236" s="13" t="str">
        <f t="shared" si="32"/>
        <v/>
      </c>
    </row>
    <row r="237" spans="1:24">
      <c r="A237" s="13" t="str">
        <f>IF(T237="YES",MAX($A$12:A236)+1,"")</f>
        <v/>
      </c>
      <c r="B237" s="20"/>
      <c r="C237" s="5" t="str">
        <f t="shared" si="33"/>
        <v>Buildings Category 6</v>
      </c>
      <c r="D237" s="5" t="s">
        <v>29</v>
      </c>
      <c r="E237" s="5" t="s">
        <v>31</v>
      </c>
      <c r="F237" s="152"/>
      <c r="G237" s="234"/>
      <c r="H237" s="233">
        <v>0.93939393939393934</v>
      </c>
      <c r="I237" s="232">
        <v>0.1</v>
      </c>
      <c r="J237" s="231"/>
      <c r="K237" s="235">
        <v>396</v>
      </c>
      <c r="L237" s="77"/>
      <c r="M237" s="37">
        <f>F237*G237*H237*I237*Baseline!$F$28</f>
        <v>0</v>
      </c>
      <c r="N237" s="37">
        <f>F237*G237*H237*J237*Baseline!$G$28</f>
        <v>0</v>
      </c>
      <c r="O237" s="60">
        <f>(M237*References!$C$27+N237*References!$C$26)/1000</f>
        <v>0</v>
      </c>
      <c r="P237" s="38">
        <f t="shared" si="30"/>
        <v>0</v>
      </c>
      <c r="Q237" s="38">
        <f>(M237*References!$C$57+Opportunities!N237*References!$C$56)/100</f>
        <v>0</v>
      </c>
      <c r="R237" s="35">
        <f t="shared" si="31"/>
        <v>0</v>
      </c>
      <c r="S237" s="36">
        <f>O237/'Graphs&amp;Analysis'!$D$24</f>
        <v>0</v>
      </c>
      <c r="T237" s="153"/>
      <c r="U237" s="153"/>
      <c r="W237" s="13" t="str">
        <f t="shared" si="32"/>
        <v/>
      </c>
    </row>
    <row r="238" spans="1:24">
      <c r="A238" s="13" t="str">
        <f>IF(T238="YES",MAX($A$12:A237)+1,"")</f>
        <v/>
      </c>
      <c r="B238" s="20"/>
      <c r="C238" s="5" t="str">
        <f t="shared" si="33"/>
        <v>Buildings Category 6</v>
      </c>
      <c r="D238" s="5" t="s">
        <v>29</v>
      </c>
      <c r="E238" s="5" t="s">
        <v>32</v>
      </c>
      <c r="F238" s="152"/>
      <c r="G238" s="234"/>
      <c r="H238" s="233">
        <v>0.93939393939393934</v>
      </c>
      <c r="I238" s="232">
        <v>7.0000000000000007E-2</v>
      </c>
      <c r="J238" s="231"/>
      <c r="K238" s="235">
        <v>470</v>
      </c>
      <c r="L238" s="77"/>
      <c r="M238" s="37">
        <f>F238*G238*H238*I238*Baseline!$F$28</f>
        <v>0</v>
      </c>
      <c r="N238" s="37">
        <f>F238*G238*H238*J238*Baseline!$G$28</f>
        <v>0</v>
      </c>
      <c r="O238" s="60">
        <f>(M238*References!$C$27+N238*References!$C$26)/1000</f>
        <v>0</v>
      </c>
      <c r="P238" s="38">
        <f t="shared" si="30"/>
        <v>0</v>
      </c>
      <c r="Q238" s="38">
        <f>(M238*References!$C$57+Opportunities!N238*References!$C$56)/100</f>
        <v>0</v>
      </c>
      <c r="R238" s="35">
        <f t="shared" si="31"/>
        <v>0</v>
      </c>
      <c r="S238" s="36">
        <f>O238/'Graphs&amp;Analysis'!$D$24</f>
        <v>0</v>
      </c>
      <c r="T238" s="153"/>
      <c r="U238" s="153"/>
      <c r="W238" s="13" t="str">
        <f t="shared" si="32"/>
        <v/>
      </c>
    </row>
    <row r="239" spans="1:24">
      <c r="A239" s="13" t="str">
        <f>IF(T239="YES",MAX($A$12:A238)+1,"")</f>
        <v/>
      </c>
      <c r="B239" s="20"/>
      <c r="C239" s="5" t="str">
        <f t="shared" si="33"/>
        <v>Buildings Category 6</v>
      </c>
      <c r="D239" s="5" t="s">
        <v>29</v>
      </c>
      <c r="E239" s="5" t="s">
        <v>33</v>
      </c>
      <c r="F239" s="152"/>
      <c r="G239" s="234"/>
      <c r="H239" s="233">
        <v>0.93939393939393934</v>
      </c>
      <c r="I239" s="232">
        <v>0.05</v>
      </c>
      <c r="J239" s="231"/>
      <c r="K239" s="235">
        <v>682</v>
      </c>
      <c r="L239" s="77"/>
      <c r="M239" s="37">
        <f>F239*G239*H239*I239*Baseline!$F$28</f>
        <v>0</v>
      </c>
      <c r="N239" s="37">
        <f>F239*G239*H239*J239*Baseline!$G$28</f>
        <v>0</v>
      </c>
      <c r="O239" s="60">
        <f>(M239*References!$C$27+N239*References!$C$26)/1000</f>
        <v>0</v>
      </c>
      <c r="P239" s="38">
        <f t="shared" si="30"/>
        <v>0</v>
      </c>
      <c r="Q239" s="38">
        <f>(M239*References!$C$57+Opportunities!N239*References!$C$56)/100</f>
        <v>0</v>
      </c>
      <c r="R239" s="35">
        <f t="shared" si="31"/>
        <v>0</v>
      </c>
      <c r="S239" s="36">
        <f>O239/'Graphs&amp;Analysis'!$D$24</f>
        <v>0</v>
      </c>
      <c r="T239" s="153"/>
      <c r="U239" s="153"/>
      <c r="W239" s="13" t="str">
        <f t="shared" si="32"/>
        <v/>
      </c>
    </row>
    <row r="240" spans="1:24" ht="25.5">
      <c r="A240" s="13" t="str">
        <f>IF(T240="YES",MAX($A$12:A239)+1,"")</f>
        <v/>
      </c>
      <c r="B240" s="20"/>
      <c r="C240" s="5" t="str">
        <f t="shared" si="33"/>
        <v>Buildings Category 6</v>
      </c>
      <c r="D240" s="5" t="s">
        <v>34</v>
      </c>
      <c r="E240" s="5" t="s">
        <v>35</v>
      </c>
      <c r="F240" s="152"/>
      <c r="G240" s="234"/>
      <c r="H240" s="232">
        <v>0.05</v>
      </c>
      <c r="I240" s="232">
        <v>0.7</v>
      </c>
      <c r="J240" s="231"/>
      <c r="K240" s="235">
        <v>472</v>
      </c>
      <c r="L240" s="77"/>
      <c r="M240" s="37">
        <f>F240*G240*H240*I240*Baseline!$F$28</f>
        <v>0</v>
      </c>
      <c r="N240" s="37">
        <f>F240*G240*H240*J240*Baseline!$G$28</f>
        <v>0</v>
      </c>
      <c r="O240" s="60">
        <f>(M240*References!$C$27+N240*References!$C$26)/1000</f>
        <v>0</v>
      </c>
      <c r="P240" s="38">
        <f t="shared" si="30"/>
        <v>0</v>
      </c>
      <c r="Q240" s="38">
        <f>(M240*References!$C$57+Opportunities!N240*References!$C$56)/100</f>
        <v>0</v>
      </c>
      <c r="R240" s="35">
        <f t="shared" si="31"/>
        <v>0</v>
      </c>
      <c r="S240" s="36">
        <f>O240/'Graphs&amp;Analysis'!$D$24</f>
        <v>0</v>
      </c>
      <c r="T240" s="153"/>
      <c r="U240" s="153"/>
      <c r="W240" s="13" t="str">
        <f t="shared" si="32"/>
        <v/>
      </c>
    </row>
    <row r="241" spans="1:23" ht="25.5">
      <c r="A241" s="13" t="str">
        <f>IF(T241="YES",MAX($A$12:A240)+1,"")</f>
        <v/>
      </c>
      <c r="B241" s="20"/>
      <c r="C241" s="5" t="str">
        <f t="shared" si="33"/>
        <v>Buildings Category 6</v>
      </c>
      <c r="D241" s="5" t="s">
        <v>27</v>
      </c>
      <c r="E241" s="5" t="s">
        <v>122</v>
      </c>
      <c r="F241" s="152"/>
      <c r="G241" s="234"/>
      <c r="H241" s="232">
        <v>1</v>
      </c>
      <c r="I241" s="232">
        <v>0.8</v>
      </c>
      <c r="J241" s="231"/>
      <c r="K241" s="235">
        <v>803</v>
      </c>
      <c r="L241" s="77"/>
      <c r="M241" s="37">
        <f>F241*G241*H241*I241*Baseline!$F$28</f>
        <v>0</v>
      </c>
      <c r="N241" s="37">
        <f>F241*G241*H241*J241*Baseline!$G$28</f>
        <v>0</v>
      </c>
      <c r="O241" s="60">
        <f>(M241*References!$C$27+N241*References!$C$26)/1000</f>
        <v>0</v>
      </c>
      <c r="P241" s="38">
        <f t="shared" si="30"/>
        <v>0</v>
      </c>
      <c r="Q241" s="38">
        <f>(M241*References!$C$57+Opportunities!N241*References!$C$56)/100</f>
        <v>0</v>
      </c>
      <c r="R241" s="35">
        <f t="shared" si="31"/>
        <v>0</v>
      </c>
      <c r="S241" s="36">
        <f>O241/'Graphs&amp;Analysis'!$D$24</f>
        <v>0</v>
      </c>
      <c r="T241" s="153"/>
      <c r="U241" s="153"/>
      <c r="W241" s="13" t="str">
        <f t="shared" si="32"/>
        <v/>
      </c>
    </row>
    <row r="242" spans="1:23" ht="25.5">
      <c r="A242" s="13" t="str">
        <f>IF(T242="YES",MAX($A$12:A241)+1,"")</f>
        <v/>
      </c>
      <c r="B242" s="20"/>
      <c r="C242" s="5" t="str">
        <f t="shared" si="33"/>
        <v>Buildings Category 6</v>
      </c>
      <c r="D242" s="5" t="s">
        <v>27</v>
      </c>
      <c r="E242" s="5" t="s">
        <v>28</v>
      </c>
      <c r="F242" s="152"/>
      <c r="G242" s="234"/>
      <c r="H242" s="232">
        <v>1</v>
      </c>
      <c r="I242" s="232">
        <v>0.2</v>
      </c>
      <c r="J242" s="231"/>
      <c r="K242" s="235">
        <v>803</v>
      </c>
      <c r="L242" s="77"/>
      <c r="M242" s="37">
        <f>F242*G242*H242*I242*Baseline!$F$28</f>
        <v>0</v>
      </c>
      <c r="N242" s="37">
        <f>F242*G242*H242*J242*Baseline!$G$28</f>
        <v>0</v>
      </c>
      <c r="O242" s="60">
        <f>(M242*References!$C$27+N242*References!$C$26)/1000</f>
        <v>0</v>
      </c>
      <c r="P242" s="38">
        <f t="shared" si="30"/>
        <v>0</v>
      </c>
      <c r="Q242" s="38">
        <f>(M242*References!$C$57+Opportunities!N242*References!$C$56)/100</f>
        <v>0</v>
      </c>
      <c r="R242" s="35">
        <f t="shared" si="31"/>
        <v>0</v>
      </c>
      <c r="S242" s="36">
        <f>O242/'Graphs&amp;Analysis'!$D$24</f>
        <v>0</v>
      </c>
      <c r="T242" s="153"/>
      <c r="U242" s="153"/>
      <c r="W242" s="13" t="str">
        <f t="shared" si="32"/>
        <v/>
      </c>
    </row>
    <row r="243" spans="1:23" ht="25.5">
      <c r="A243" s="13" t="str">
        <f>IF(T243="YES",MAX($A$12:A242)+1,"")</f>
        <v/>
      </c>
      <c r="B243" s="20"/>
      <c r="C243" s="5" t="str">
        <f t="shared" si="33"/>
        <v>Buildings Category 6</v>
      </c>
      <c r="D243" s="5" t="s">
        <v>47</v>
      </c>
      <c r="E243" s="5" t="s">
        <v>51</v>
      </c>
      <c r="F243" s="152"/>
      <c r="G243" s="234"/>
      <c r="H243" s="233">
        <v>0.17647058823529407</v>
      </c>
      <c r="I243" s="231"/>
      <c r="J243" s="232">
        <v>0.1</v>
      </c>
      <c r="K243" s="235">
        <v>294</v>
      </c>
      <c r="L243" s="77"/>
      <c r="M243" s="37">
        <f>F243*G243*H243*I243*Baseline!$F$28</f>
        <v>0</v>
      </c>
      <c r="N243" s="37">
        <f>F243*G243*H243*J243*Baseline!$G$28</f>
        <v>0</v>
      </c>
      <c r="O243" s="60">
        <f>(M243*References!$C$27+N243*References!$C$26)/1000</f>
        <v>0</v>
      </c>
      <c r="P243" s="38">
        <f t="shared" si="30"/>
        <v>0</v>
      </c>
      <c r="Q243" s="38">
        <f>(M243*References!$C$57+Opportunities!N243*References!$C$56)/100</f>
        <v>0</v>
      </c>
      <c r="R243" s="35">
        <f t="shared" si="31"/>
        <v>0</v>
      </c>
      <c r="S243" s="36">
        <f>O243/'Graphs&amp;Analysis'!$D$24</f>
        <v>0</v>
      </c>
      <c r="T243" s="153"/>
      <c r="U243" s="153"/>
      <c r="W243" s="13" t="str">
        <f t="shared" si="32"/>
        <v/>
      </c>
    </row>
    <row r="244" spans="1:23">
      <c r="A244" s="13" t="str">
        <f>IF(T244="YES",MAX($A$12:A243)+1,"")</f>
        <v/>
      </c>
      <c r="B244" s="20"/>
      <c r="C244" s="5" t="str">
        <f t="shared" si="33"/>
        <v>Buildings Category 6</v>
      </c>
      <c r="D244" s="5" t="s">
        <v>47</v>
      </c>
      <c r="E244" s="5" t="s">
        <v>50</v>
      </c>
      <c r="F244" s="152"/>
      <c r="G244" s="234"/>
      <c r="H244" s="233">
        <v>0.17647058823529407</v>
      </c>
      <c r="I244" s="231"/>
      <c r="J244" s="232">
        <v>0.1</v>
      </c>
      <c r="K244" s="235">
        <v>4202</v>
      </c>
      <c r="L244" s="77"/>
      <c r="M244" s="37">
        <f>F244*G244*H244*I244*Baseline!$F$28</f>
        <v>0</v>
      </c>
      <c r="N244" s="37">
        <f>F244*G244*H244*J244*Baseline!$G$28</f>
        <v>0</v>
      </c>
      <c r="O244" s="60">
        <f>(M244*References!$C$27+N244*References!$C$26)/1000</f>
        <v>0</v>
      </c>
      <c r="P244" s="38">
        <f t="shared" si="30"/>
        <v>0</v>
      </c>
      <c r="Q244" s="38">
        <f>(M244*References!$C$57+Opportunities!N244*References!$C$56)/100</f>
        <v>0</v>
      </c>
      <c r="R244" s="35">
        <f t="shared" si="31"/>
        <v>0</v>
      </c>
      <c r="S244" s="36">
        <f>O244/'Graphs&amp;Analysis'!$D$24</f>
        <v>0</v>
      </c>
      <c r="T244" s="153"/>
      <c r="U244" s="153"/>
      <c r="W244" s="13" t="str">
        <f t="shared" si="32"/>
        <v/>
      </c>
    </row>
    <row r="245" spans="1:23">
      <c r="A245" s="13" t="str">
        <f>IF(T245="YES",MAX($A$12:A244)+1,"")</f>
        <v/>
      </c>
      <c r="B245" s="20"/>
      <c r="C245" s="5" t="str">
        <f t="shared" si="33"/>
        <v>Buildings Category 6</v>
      </c>
      <c r="D245" s="5" t="s">
        <v>47</v>
      </c>
      <c r="E245" s="5" t="s">
        <v>49</v>
      </c>
      <c r="F245" s="152"/>
      <c r="G245" s="234"/>
      <c r="H245" s="233">
        <v>0.17647058823529407</v>
      </c>
      <c r="I245" s="231"/>
      <c r="J245" s="232">
        <v>0.1</v>
      </c>
      <c r="K245" s="235">
        <v>1200</v>
      </c>
      <c r="L245" s="77"/>
      <c r="M245" s="37">
        <f>F245*G245*H245*I245*Baseline!$F$28</f>
        <v>0</v>
      </c>
      <c r="N245" s="37">
        <f>F245*G245*H245*J245*Baseline!$G$28</f>
        <v>0</v>
      </c>
      <c r="O245" s="60">
        <f>(M245*References!$C$27+N245*References!$C$26)/1000</f>
        <v>0</v>
      </c>
      <c r="P245" s="38">
        <f t="shared" si="30"/>
        <v>0</v>
      </c>
      <c r="Q245" s="38">
        <f>(M245*References!$C$57+Opportunities!N245*References!$C$56)/100</f>
        <v>0</v>
      </c>
      <c r="R245" s="35">
        <f t="shared" si="31"/>
        <v>0</v>
      </c>
      <c r="S245" s="36">
        <f>O245/'Graphs&amp;Analysis'!$D$24</f>
        <v>0</v>
      </c>
      <c r="T245" s="153"/>
      <c r="U245" s="153"/>
      <c r="W245" s="13" t="str">
        <f t="shared" si="32"/>
        <v/>
      </c>
    </row>
    <row r="246" spans="1:23" ht="25.5">
      <c r="A246" s="13" t="str">
        <f>IF(T246="YES",MAX($A$12:A245)+1,"")</f>
        <v/>
      </c>
      <c r="B246" s="20"/>
      <c r="C246" s="5" t="str">
        <f t="shared" si="33"/>
        <v>Buildings Category 6</v>
      </c>
      <c r="D246" s="5" t="s">
        <v>47</v>
      </c>
      <c r="E246" s="5" t="s">
        <v>48</v>
      </c>
      <c r="F246" s="152"/>
      <c r="G246" s="234"/>
      <c r="H246" s="233">
        <v>2.9411764705882346E-2</v>
      </c>
      <c r="I246" s="231"/>
      <c r="J246" s="232">
        <v>0.5</v>
      </c>
      <c r="K246" s="235">
        <v>606</v>
      </c>
      <c r="L246" s="77"/>
      <c r="M246" s="37">
        <f>F246*G246*H246*I246*Baseline!$F$28</f>
        <v>0</v>
      </c>
      <c r="N246" s="37">
        <f>F246*G246*H246*J246*Baseline!$G$28</f>
        <v>0</v>
      </c>
      <c r="O246" s="60">
        <f>(M246*References!$C$27+N246*References!$C$26)/1000</f>
        <v>0</v>
      </c>
      <c r="P246" s="38">
        <f t="shared" si="30"/>
        <v>0</v>
      </c>
      <c r="Q246" s="38">
        <f>(M246*References!$C$57+Opportunities!N246*References!$C$56)/100</f>
        <v>0</v>
      </c>
      <c r="R246" s="35">
        <f t="shared" si="31"/>
        <v>0</v>
      </c>
      <c r="S246" s="36">
        <f>O246/'Graphs&amp;Analysis'!$D$24</f>
        <v>0</v>
      </c>
      <c r="T246" s="153"/>
      <c r="U246" s="153"/>
      <c r="W246" s="13" t="str">
        <f t="shared" si="32"/>
        <v/>
      </c>
    </row>
    <row r="247" spans="1:23" ht="25.5">
      <c r="A247" s="13" t="str">
        <f>IF(T247="YES",MAX($A$12:A246)+1,"")</f>
        <v/>
      </c>
      <c r="B247" s="20"/>
      <c r="C247" s="5" t="str">
        <f t="shared" si="33"/>
        <v>Buildings Category 6</v>
      </c>
      <c r="D247" s="5" t="s">
        <v>36</v>
      </c>
      <c r="E247" s="5" t="s">
        <v>37</v>
      </c>
      <c r="F247" s="152"/>
      <c r="G247" s="234"/>
      <c r="H247" s="233">
        <v>0.5</v>
      </c>
      <c r="I247" s="232"/>
      <c r="J247" s="232">
        <v>0.35</v>
      </c>
      <c r="K247" s="235">
        <v>1200</v>
      </c>
      <c r="L247" s="77"/>
      <c r="M247" s="37">
        <f>F247*G247*H247*I247*Baseline!$F$28</f>
        <v>0</v>
      </c>
      <c r="N247" s="37">
        <f>F247*G247*H247*J247*Baseline!$G$28</f>
        <v>0</v>
      </c>
      <c r="O247" s="60">
        <f>(M247*References!$C$27+N247*References!$C$26)/1000</f>
        <v>0</v>
      </c>
      <c r="P247" s="38">
        <f t="shared" si="30"/>
        <v>0</v>
      </c>
      <c r="Q247" s="38">
        <f>(M247*References!$C$57+Opportunities!N247*References!$C$56)/100</f>
        <v>0</v>
      </c>
      <c r="R247" s="35">
        <f t="shared" si="31"/>
        <v>0</v>
      </c>
      <c r="S247" s="36">
        <f>O247/'Graphs&amp;Analysis'!$D$24</f>
        <v>0</v>
      </c>
      <c r="T247" s="153"/>
      <c r="U247" s="153"/>
      <c r="W247" s="13" t="str">
        <f t="shared" si="32"/>
        <v/>
      </c>
    </row>
    <row r="248" spans="1:23">
      <c r="A248" s="13" t="str">
        <f>IF(T248="YES",MAX($A$12:A247)+1,"")</f>
        <v/>
      </c>
      <c r="B248" s="20"/>
      <c r="C248" s="5" t="str">
        <f t="shared" si="33"/>
        <v>Buildings Category 6</v>
      </c>
      <c r="D248" s="5" t="s">
        <v>36</v>
      </c>
      <c r="E248" s="5" t="s">
        <v>38</v>
      </c>
      <c r="F248" s="152"/>
      <c r="G248" s="234"/>
      <c r="H248" s="233">
        <v>0.5</v>
      </c>
      <c r="I248" s="232"/>
      <c r="J248" s="232">
        <v>0.5</v>
      </c>
      <c r="K248" s="235">
        <v>500</v>
      </c>
      <c r="L248" s="77"/>
      <c r="M248" s="37">
        <f>F248*G248*H248*I248*Baseline!$F$28</f>
        <v>0</v>
      </c>
      <c r="N248" s="37">
        <f>F248*G248*H248*J248*Baseline!$G$28</f>
        <v>0</v>
      </c>
      <c r="O248" s="60">
        <f>(M248*References!$C$27+N248*References!$C$26)/1000</f>
        <v>0</v>
      </c>
      <c r="P248" s="38">
        <f t="shared" si="30"/>
        <v>0</v>
      </c>
      <c r="Q248" s="38">
        <f>(M248*References!$C$57+Opportunities!N248*References!$C$56)/100</f>
        <v>0</v>
      </c>
      <c r="R248" s="35">
        <f t="shared" si="31"/>
        <v>0</v>
      </c>
      <c r="S248" s="36">
        <f>O248/'Graphs&amp;Analysis'!$D$24</f>
        <v>0</v>
      </c>
      <c r="T248" s="153"/>
      <c r="U248" s="153"/>
      <c r="W248" s="13" t="str">
        <f t="shared" si="32"/>
        <v/>
      </c>
    </row>
    <row r="249" spans="1:23" ht="12.75" customHeight="1">
      <c r="A249" s="13" t="str">
        <f>IF(T249="YES",MAX($A$12:A248)+1,"")</f>
        <v/>
      </c>
      <c r="B249" s="20"/>
      <c r="C249" s="5" t="str">
        <f t="shared" si="33"/>
        <v>Buildings Category 6</v>
      </c>
      <c r="D249" s="5" t="s">
        <v>39</v>
      </c>
      <c r="E249" s="5" t="s">
        <v>40</v>
      </c>
      <c r="F249" s="152"/>
      <c r="G249" s="234"/>
      <c r="H249" s="233">
        <v>0.5</v>
      </c>
      <c r="I249" s="232"/>
      <c r="J249" s="232">
        <v>0.08</v>
      </c>
      <c r="K249" s="235">
        <v>633</v>
      </c>
      <c r="L249" s="78"/>
      <c r="M249" s="37">
        <f>F249*G249*H249*I249*Baseline!$F$28</f>
        <v>0</v>
      </c>
      <c r="N249" s="37">
        <f>F249*G249*H249*J249*Baseline!$G$28</f>
        <v>0</v>
      </c>
      <c r="O249" s="60">
        <f>(M249*References!$C$27+N249*References!$C$26)/1000</f>
        <v>0</v>
      </c>
      <c r="P249" s="38">
        <f t="shared" si="30"/>
        <v>0</v>
      </c>
      <c r="Q249" s="38">
        <f>(M249*References!$C$57+Opportunities!N249*References!$C$56)/100</f>
        <v>0</v>
      </c>
      <c r="R249" s="35">
        <f t="shared" si="31"/>
        <v>0</v>
      </c>
      <c r="S249" s="36">
        <f>O249/'Graphs&amp;Analysis'!$D$24</f>
        <v>0</v>
      </c>
      <c r="T249" s="153"/>
      <c r="U249" s="153"/>
      <c r="W249" s="13" t="str">
        <f t="shared" si="32"/>
        <v/>
      </c>
    </row>
    <row r="250" spans="1:23" ht="25.5" customHeight="1">
      <c r="A250" s="13" t="str">
        <f>IF(T250="YES",MAX($A$12:A249)+1,"")</f>
        <v/>
      </c>
      <c r="B250" s="20"/>
      <c r="C250" s="5" t="str">
        <f t="shared" si="33"/>
        <v>Buildings Category 6</v>
      </c>
      <c r="D250" s="5" t="s">
        <v>43</v>
      </c>
      <c r="E250" s="5" t="s">
        <v>46</v>
      </c>
      <c r="F250" s="152"/>
      <c r="G250" s="234"/>
      <c r="H250" s="233">
        <v>1</v>
      </c>
      <c r="I250" s="232">
        <v>7.0000000000000007E-2</v>
      </c>
      <c r="J250" s="232">
        <v>7.0000000000000007E-2</v>
      </c>
      <c r="K250" s="235">
        <v>500</v>
      </c>
      <c r="L250" s="78"/>
      <c r="M250" s="37">
        <f>F250*G250*H250*I250*Baseline!$F$28</f>
        <v>0</v>
      </c>
      <c r="N250" s="37">
        <f>F250*G250*H250*J250*Baseline!$G$28</f>
        <v>0</v>
      </c>
      <c r="O250" s="60">
        <f>(M250*References!$C$27+N250*References!$C$26)/1000</f>
        <v>0</v>
      </c>
      <c r="P250" s="38">
        <f t="shared" si="30"/>
        <v>0</v>
      </c>
      <c r="Q250" s="38">
        <f>(M250*References!$C$57+Opportunities!N250*References!$C$56)/100</f>
        <v>0</v>
      </c>
      <c r="R250" s="35">
        <f t="shared" si="31"/>
        <v>0</v>
      </c>
      <c r="S250" s="36">
        <f>O250/'Graphs&amp;Analysis'!$D$24</f>
        <v>0</v>
      </c>
      <c r="T250" s="153"/>
      <c r="U250" s="153"/>
      <c r="W250" s="13" t="str">
        <f t="shared" si="32"/>
        <v/>
      </c>
    </row>
    <row r="251" spans="1:23" ht="12.75" customHeight="1">
      <c r="A251" s="13" t="str">
        <f>IF(T251="YES",MAX($A$12:A250)+1,"")</f>
        <v/>
      </c>
      <c r="B251" s="20"/>
      <c r="C251" s="5" t="str">
        <f t="shared" si="33"/>
        <v>Buildings Category 6</v>
      </c>
      <c r="D251" s="5" t="s">
        <v>43</v>
      </c>
      <c r="E251" s="5" t="s">
        <v>44</v>
      </c>
      <c r="F251" s="152"/>
      <c r="G251" s="234"/>
      <c r="H251" s="233">
        <v>5.8823529411764691E-2</v>
      </c>
      <c r="I251" s="231"/>
      <c r="J251" s="232">
        <v>0.4</v>
      </c>
      <c r="K251" s="235">
        <v>307</v>
      </c>
      <c r="L251" s="77"/>
      <c r="M251" s="37">
        <f>F251*G251*H251*I251*Baseline!$F$28</f>
        <v>0</v>
      </c>
      <c r="N251" s="37">
        <f>F251*G251*H251*J251*Baseline!$G$28</f>
        <v>0</v>
      </c>
      <c r="O251" s="60">
        <f>(M251*References!$C$27+N251*References!$C$26)/1000</f>
        <v>0</v>
      </c>
      <c r="P251" s="38">
        <f t="shared" si="30"/>
        <v>0</v>
      </c>
      <c r="Q251" s="38">
        <f>(M251*References!$C$57+Opportunities!N251*References!$C$56)/100</f>
        <v>0</v>
      </c>
      <c r="R251" s="35">
        <f t="shared" si="31"/>
        <v>0</v>
      </c>
      <c r="S251" s="36">
        <f>O251/'Graphs&amp;Analysis'!$D$24</f>
        <v>0</v>
      </c>
      <c r="T251" s="153"/>
      <c r="U251" s="153"/>
      <c r="W251" s="13" t="str">
        <f t="shared" si="32"/>
        <v/>
      </c>
    </row>
    <row r="252" spans="1:23">
      <c r="A252" s="13" t="str">
        <f>IF(T252="YES",MAX($A$12:A251)+1,"")</f>
        <v/>
      </c>
      <c r="B252" s="20"/>
      <c r="C252" s="5" t="str">
        <f t="shared" si="33"/>
        <v>Buildings Category 6</v>
      </c>
      <c r="D252" s="5" t="s">
        <v>43</v>
      </c>
      <c r="E252" s="5" t="s">
        <v>55</v>
      </c>
      <c r="F252" s="152"/>
      <c r="G252" s="234"/>
      <c r="H252" s="232">
        <v>0.5</v>
      </c>
      <c r="I252" s="232">
        <v>0.05</v>
      </c>
      <c r="J252" s="232"/>
      <c r="K252" s="235">
        <v>500</v>
      </c>
      <c r="L252" s="77"/>
      <c r="M252" s="37">
        <f>F252*G252*H252*I252*Baseline!$F$28</f>
        <v>0</v>
      </c>
      <c r="N252" s="37">
        <f>F252*G252*H252*J252*Baseline!$G$28</f>
        <v>0</v>
      </c>
      <c r="O252" s="60">
        <f>(M252*References!$C$27+N252*References!$C$26)/1000</f>
        <v>0</v>
      </c>
      <c r="P252" s="38">
        <f t="shared" si="30"/>
        <v>0</v>
      </c>
      <c r="Q252" s="38">
        <f>(M252*References!$C$57+Opportunities!N252*References!$C$56)/100</f>
        <v>0</v>
      </c>
      <c r="R252" s="35">
        <f t="shared" si="31"/>
        <v>0</v>
      </c>
      <c r="S252" s="36">
        <f>O252/'Graphs&amp;Analysis'!$D$24</f>
        <v>0</v>
      </c>
      <c r="T252" s="153"/>
      <c r="U252" s="153"/>
      <c r="W252" s="13" t="str">
        <f t="shared" si="32"/>
        <v/>
      </c>
    </row>
    <row r="253" spans="1:23" ht="25.5">
      <c r="A253" s="13" t="str">
        <f>IF(T253="YES",MAX($A$12:A252)+1,"")</f>
        <v/>
      </c>
      <c r="B253" s="20"/>
      <c r="C253" s="5" t="str">
        <f t="shared" si="33"/>
        <v>Buildings Category 6</v>
      </c>
      <c r="D253" s="5" t="s">
        <v>43</v>
      </c>
      <c r="E253" s="5" t="s">
        <v>56</v>
      </c>
      <c r="F253" s="152"/>
      <c r="G253" s="234"/>
      <c r="H253" s="232">
        <v>1</v>
      </c>
      <c r="I253" s="232">
        <v>0.1</v>
      </c>
      <c r="J253" s="232">
        <v>0.15</v>
      </c>
      <c r="K253" s="235">
        <v>500</v>
      </c>
      <c r="L253" s="78"/>
      <c r="M253" s="37">
        <f>F253*G253*H253*I253*Baseline!$F$28</f>
        <v>0</v>
      </c>
      <c r="N253" s="37">
        <f>F253*G253*H253*J253*Baseline!$G$28</f>
        <v>0</v>
      </c>
      <c r="O253" s="60">
        <f>(M253*References!$C$27+N253*References!$C$26)/1000</f>
        <v>0</v>
      </c>
      <c r="P253" s="38">
        <f t="shared" si="30"/>
        <v>0</v>
      </c>
      <c r="Q253" s="38">
        <f>(M253*References!$C$57+Opportunities!N253*References!$C$56)/100</f>
        <v>0</v>
      </c>
      <c r="R253" s="35">
        <f t="shared" si="31"/>
        <v>0</v>
      </c>
      <c r="S253" s="36">
        <f>O253/'Graphs&amp;Analysis'!$D$24</f>
        <v>0</v>
      </c>
      <c r="T253" s="153"/>
      <c r="U253" s="153"/>
      <c r="W253" s="13" t="str">
        <f t="shared" si="32"/>
        <v/>
      </c>
    </row>
    <row r="254" spans="1:23" ht="25.5" customHeight="1">
      <c r="A254" s="13" t="str">
        <f>IF(T254="YES",MAX($A$12:A253)+1,"")</f>
        <v/>
      </c>
      <c r="B254" s="20"/>
      <c r="C254" s="5" t="str">
        <f t="shared" si="33"/>
        <v>Buildings Category 6</v>
      </c>
      <c r="D254" s="5" t="s">
        <v>43</v>
      </c>
      <c r="E254" s="5" t="s">
        <v>53</v>
      </c>
      <c r="F254" s="152"/>
      <c r="G254" s="234"/>
      <c r="H254" s="232">
        <v>1</v>
      </c>
      <c r="I254" s="232"/>
      <c r="J254" s="232">
        <v>0.4</v>
      </c>
      <c r="K254" s="235">
        <v>500</v>
      </c>
      <c r="L254" s="78"/>
      <c r="M254" s="37">
        <f>F254*G254*H254*I254*Baseline!$F$28</f>
        <v>0</v>
      </c>
      <c r="N254" s="37">
        <f>F254*G254*H254*J254*Baseline!$G$28</f>
        <v>0</v>
      </c>
      <c r="O254" s="60">
        <f>(M254*References!$C$27+N254*References!$C$26)/1000</f>
        <v>0</v>
      </c>
      <c r="P254" s="38">
        <f t="shared" si="30"/>
        <v>0</v>
      </c>
      <c r="Q254" s="38">
        <f>(M254*References!$C$57+Opportunities!N254*References!$C$56)/100</f>
        <v>0</v>
      </c>
      <c r="R254" s="35">
        <f t="shared" si="31"/>
        <v>0</v>
      </c>
      <c r="S254" s="36">
        <f>O254/'Graphs&amp;Analysis'!$D$24</f>
        <v>0</v>
      </c>
      <c r="T254" s="153"/>
      <c r="U254" s="153"/>
      <c r="W254" s="13" t="str">
        <f t="shared" si="32"/>
        <v/>
      </c>
    </row>
    <row r="255" spans="1:23" ht="25.5" customHeight="1">
      <c r="A255" s="13" t="str">
        <f>IF(T255="YES",MAX($A$12:A254)+1,"")</f>
        <v/>
      </c>
      <c r="B255" s="20"/>
      <c r="C255" s="5" t="str">
        <f t="shared" si="33"/>
        <v>Buildings Category 6</v>
      </c>
      <c r="D255" s="5" t="s">
        <v>43</v>
      </c>
      <c r="E255" s="5" t="s">
        <v>54</v>
      </c>
      <c r="F255" s="152"/>
      <c r="G255" s="234"/>
      <c r="H255" s="232">
        <v>0.5</v>
      </c>
      <c r="I255" s="232">
        <v>0.2</v>
      </c>
      <c r="J255" s="232"/>
      <c r="K255" s="235">
        <v>500</v>
      </c>
      <c r="L255" s="78"/>
      <c r="M255" s="37">
        <f>F255*G255*H255*I255*Baseline!$F$28</f>
        <v>0</v>
      </c>
      <c r="N255" s="37">
        <f>F255*G255*H255*J255*Baseline!$G$28</f>
        <v>0</v>
      </c>
      <c r="O255" s="60">
        <f>(M255*References!$C$27+N255*References!$C$26)/1000</f>
        <v>0</v>
      </c>
      <c r="P255" s="38">
        <f t="shared" ref="P255:P260" si="34">O255*K255</f>
        <v>0</v>
      </c>
      <c r="Q255" s="38">
        <f>(M255*References!$C$57+Opportunities!N255*References!$C$56)/100</f>
        <v>0</v>
      </c>
      <c r="R255" s="35">
        <f t="shared" ref="R255:R260" si="35">IF(ISERROR(P255/Q255),0,P255/Q255)</f>
        <v>0</v>
      </c>
      <c r="S255" s="36">
        <f>O255/'Graphs&amp;Analysis'!$D$24</f>
        <v>0</v>
      </c>
      <c r="T255" s="153"/>
      <c r="U255" s="153"/>
      <c r="W255" s="13" t="str">
        <f t="shared" si="32"/>
        <v/>
      </c>
    </row>
    <row r="256" spans="1:23" ht="25.5" customHeight="1">
      <c r="A256" s="13" t="str">
        <f>IF(T256="YES",MAX($A$12:A255)+1,"")</f>
        <v/>
      </c>
      <c r="B256" s="20"/>
      <c r="C256" s="5" t="str">
        <f t="shared" si="33"/>
        <v>Buildings Category 6</v>
      </c>
      <c r="D256" s="5" t="s">
        <v>43</v>
      </c>
      <c r="E256" s="5" t="s">
        <v>45</v>
      </c>
      <c r="F256" s="152"/>
      <c r="G256" s="234"/>
      <c r="H256" s="232">
        <v>1</v>
      </c>
      <c r="I256" s="232"/>
      <c r="J256" s="232">
        <v>0.1</v>
      </c>
      <c r="K256" s="235">
        <v>503</v>
      </c>
      <c r="L256" s="78"/>
      <c r="M256" s="37">
        <f>F256*G256*H256*I256*Baseline!$F$28</f>
        <v>0</v>
      </c>
      <c r="N256" s="37">
        <f>F256*G256*H256*J256*Baseline!$G$28</f>
        <v>0</v>
      </c>
      <c r="O256" s="60">
        <f>(M256*References!$C$27+N256*References!$C$26)/1000</f>
        <v>0</v>
      </c>
      <c r="P256" s="38">
        <f t="shared" si="34"/>
        <v>0</v>
      </c>
      <c r="Q256" s="38">
        <f>(M256*References!$C$57+Opportunities!N256*References!$C$56)/100</f>
        <v>0</v>
      </c>
      <c r="R256" s="35">
        <f t="shared" si="35"/>
        <v>0</v>
      </c>
      <c r="S256" s="36">
        <f>O256/'Graphs&amp;Analysis'!$D$24</f>
        <v>0</v>
      </c>
      <c r="T256" s="153"/>
      <c r="U256" s="153"/>
      <c r="W256" s="13" t="str">
        <f t="shared" si="32"/>
        <v/>
      </c>
    </row>
    <row r="257" spans="1:23" ht="25.5" customHeight="1">
      <c r="A257" s="13" t="str">
        <f>IF(T257="YES",MAX($A$12:A256)+1,"")</f>
        <v/>
      </c>
      <c r="B257" s="20"/>
      <c r="C257" s="5" t="str">
        <f t="shared" si="33"/>
        <v>Buildings Category 6</v>
      </c>
      <c r="D257" s="5" t="s">
        <v>41</v>
      </c>
      <c r="E257" s="5" t="s">
        <v>42</v>
      </c>
      <c r="F257" s="152"/>
      <c r="G257" s="234"/>
      <c r="H257" s="232">
        <v>0.15</v>
      </c>
      <c r="I257" s="232"/>
      <c r="J257" s="232">
        <v>0.35</v>
      </c>
      <c r="K257" s="235">
        <v>458</v>
      </c>
      <c r="L257" s="78"/>
      <c r="M257" s="37">
        <f>F257*G257*H257*I257*Baseline!$F$28</f>
        <v>0</v>
      </c>
      <c r="N257" s="37">
        <f>F257*G257*H257*J257*Baseline!$G$28</f>
        <v>0</v>
      </c>
      <c r="O257" s="60">
        <f>(M257*References!$C$27+N257*References!$C$26)/1000</f>
        <v>0</v>
      </c>
      <c r="P257" s="38">
        <f t="shared" si="34"/>
        <v>0</v>
      </c>
      <c r="Q257" s="38">
        <f>(M257*References!$C$57+Opportunities!N257*References!$C$56)/100</f>
        <v>0</v>
      </c>
      <c r="R257" s="35">
        <f t="shared" si="35"/>
        <v>0</v>
      </c>
      <c r="S257" s="36">
        <f>O257/'Graphs&amp;Analysis'!$D$24</f>
        <v>0</v>
      </c>
      <c r="T257" s="153"/>
      <c r="U257" s="153"/>
      <c r="W257" s="13" t="str">
        <f t="shared" si="32"/>
        <v/>
      </c>
    </row>
    <row r="258" spans="1:23" ht="25.5" customHeight="1">
      <c r="A258" s="13" t="str">
        <f>IF(T258="YES",MAX($A$12:A257)+1,"")</f>
        <v/>
      </c>
      <c r="B258" s="20"/>
      <c r="C258" s="5" t="str">
        <f t="shared" si="33"/>
        <v>Buildings Category 6</v>
      </c>
      <c r="D258" s="5" t="s">
        <v>220</v>
      </c>
      <c r="E258" s="222" t="s">
        <v>221</v>
      </c>
      <c r="F258" s="152"/>
      <c r="G258" s="234"/>
      <c r="H258" s="233">
        <v>1</v>
      </c>
      <c r="I258" s="233">
        <v>0.01</v>
      </c>
      <c r="J258" s="231"/>
      <c r="K258" s="235">
        <v>121</v>
      </c>
      <c r="L258" s="78"/>
      <c r="M258" s="37">
        <f>F258*G258*H258*I258*Baseline!$F$28</f>
        <v>0</v>
      </c>
      <c r="N258" s="37">
        <f>F258*G258*H258*J258*Baseline!$G$28</f>
        <v>0</v>
      </c>
      <c r="O258" s="60">
        <f>(M258*References!$C$27+N258*References!$C$26)/1000</f>
        <v>0</v>
      </c>
      <c r="P258" s="38">
        <f t="shared" si="34"/>
        <v>0</v>
      </c>
      <c r="Q258" s="38">
        <f>(M258*References!$C$57+Opportunities!N258*References!$C$56)/100</f>
        <v>0</v>
      </c>
      <c r="R258" s="35">
        <f t="shared" si="35"/>
        <v>0</v>
      </c>
      <c r="S258" s="36">
        <f>O258/'Graphs&amp;Analysis'!$D$24</f>
        <v>0</v>
      </c>
      <c r="T258" s="153"/>
      <c r="U258" s="153"/>
      <c r="W258" s="13" t="str">
        <f t="shared" si="32"/>
        <v/>
      </c>
    </row>
    <row r="259" spans="1:23" ht="25.5" customHeight="1">
      <c r="A259" s="13" t="str">
        <f>IF(T259="YES",MAX($A$12:A258)+1,"")</f>
        <v/>
      </c>
      <c r="B259" s="20"/>
      <c r="C259" s="5" t="str">
        <f t="shared" si="33"/>
        <v>Buildings Category 6</v>
      </c>
      <c r="D259" s="5" t="s">
        <v>220</v>
      </c>
      <c r="E259" s="223" t="s">
        <v>222</v>
      </c>
      <c r="F259" s="152"/>
      <c r="G259" s="234"/>
      <c r="H259" s="233">
        <v>1</v>
      </c>
      <c r="I259" s="233">
        <v>7.0000000000000007E-2</v>
      </c>
      <c r="J259" s="231"/>
      <c r="K259" s="235">
        <v>500</v>
      </c>
      <c r="L259" s="78"/>
      <c r="M259" s="37">
        <f>F259*G259*H259*I259*Baseline!$F$28</f>
        <v>0</v>
      </c>
      <c r="N259" s="37">
        <f>F259*G259*H259*J259*Baseline!$G$28</f>
        <v>0</v>
      </c>
      <c r="O259" s="60">
        <f>(M259*References!$C$27+N259*References!$C$26)/1000</f>
        <v>0</v>
      </c>
      <c r="P259" s="38">
        <f t="shared" si="34"/>
        <v>0</v>
      </c>
      <c r="Q259" s="38">
        <f>(M259*References!$C$57+Opportunities!N259*References!$C$56)/100</f>
        <v>0</v>
      </c>
      <c r="R259" s="35">
        <f t="shared" si="35"/>
        <v>0</v>
      </c>
      <c r="S259" s="36">
        <f>O259/'Graphs&amp;Analysis'!$D$24</f>
        <v>0</v>
      </c>
      <c r="T259" s="153"/>
      <c r="U259" s="153"/>
      <c r="W259" s="13" t="str">
        <f t="shared" si="32"/>
        <v/>
      </c>
    </row>
    <row r="260" spans="1:23" ht="25.5" customHeight="1">
      <c r="A260" s="13" t="str">
        <f>IF(T260="YES",MAX($A$12:A259)+1,"")</f>
        <v/>
      </c>
      <c r="B260" s="20"/>
      <c r="C260" s="5" t="str">
        <f t="shared" si="33"/>
        <v>Buildings Category 6</v>
      </c>
      <c r="D260" s="5" t="s">
        <v>220</v>
      </c>
      <c r="E260" s="224" t="s">
        <v>223</v>
      </c>
      <c r="F260" s="152"/>
      <c r="G260" s="234"/>
      <c r="H260" s="233">
        <v>1</v>
      </c>
      <c r="I260" s="233">
        <v>0.02</v>
      </c>
      <c r="J260" s="231"/>
      <c r="K260" s="235">
        <v>153</v>
      </c>
      <c r="L260" s="78"/>
      <c r="M260" s="37">
        <f>F260*G260*H260*I260*Baseline!$F$28</f>
        <v>0</v>
      </c>
      <c r="N260" s="37">
        <f>F260*G260*H260*J260*Baseline!$G$28</f>
        <v>0</v>
      </c>
      <c r="O260" s="60">
        <f>(M260*References!$C$27+N260*References!$C$26)/1000</f>
        <v>0</v>
      </c>
      <c r="P260" s="38">
        <f t="shared" si="34"/>
        <v>0</v>
      </c>
      <c r="Q260" s="38">
        <f>(M260*References!$C$57+Opportunities!N260*References!$C$56)/100</f>
        <v>0</v>
      </c>
      <c r="R260" s="35">
        <f t="shared" si="35"/>
        <v>0</v>
      </c>
      <c r="S260" s="36">
        <f>O260/'Graphs&amp;Analysis'!$D$24</f>
        <v>0</v>
      </c>
      <c r="T260" s="153"/>
      <c r="U260" s="153"/>
      <c r="W260" s="13" t="str">
        <f t="shared" si="32"/>
        <v/>
      </c>
    </row>
    <row r="261" spans="1:23">
      <c r="A261" s="13" t="str">
        <f>IF(T261="YES",MAX($A$12:A260)+1,"")</f>
        <v/>
      </c>
      <c r="B261" s="20"/>
      <c r="C261" s="5" t="str">
        <f>C254</f>
        <v>Buildings Category 6</v>
      </c>
      <c r="D261" s="5" t="s">
        <v>52</v>
      </c>
      <c r="E261" s="5"/>
      <c r="F261" s="152"/>
      <c r="G261" s="234"/>
      <c r="H261" s="8"/>
      <c r="I261" s="8"/>
      <c r="J261" s="8"/>
      <c r="K261" s="29">
        <v>500</v>
      </c>
      <c r="L261" s="78"/>
      <c r="M261" s="37">
        <f>F261*G261*H261*I261*Baseline!$F$28</f>
        <v>0</v>
      </c>
      <c r="N261" s="37">
        <f>F261*G261*H261*J261*Baseline!$G$28</f>
        <v>0</v>
      </c>
      <c r="O261" s="60">
        <f>(M261*References!$C$27+N261*References!$C$26)/1000</f>
        <v>0</v>
      </c>
      <c r="P261" s="38">
        <f t="shared" si="30"/>
        <v>0</v>
      </c>
      <c r="Q261" s="38">
        <f>(M261*References!$C$57+Opportunities!N261*References!$C$56)/100</f>
        <v>0</v>
      </c>
      <c r="R261" s="35">
        <f t="shared" si="31"/>
        <v>0</v>
      </c>
      <c r="S261" s="36">
        <f>O261/'Graphs&amp;Analysis'!$D$24</f>
        <v>0</v>
      </c>
      <c r="T261" s="153"/>
      <c r="U261" s="153"/>
      <c r="W261" s="13" t="str">
        <f t="shared" si="32"/>
        <v/>
      </c>
    </row>
    <row r="262" spans="1:23">
      <c r="A262" s="13" t="str">
        <f>IF(T262="YES",MAX($A$12:A261)+1,"")</f>
        <v/>
      </c>
      <c r="B262" s="20"/>
      <c r="C262" s="5" t="str">
        <f t="shared" si="33"/>
        <v>Buildings Category 6</v>
      </c>
      <c r="D262" s="5" t="s">
        <v>52</v>
      </c>
      <c r="E262" s="5"/>
      <c r="F262" s="152"/>
      <c r="G262" s="234"/>
      <c r="H262" s="8"/>
      <c r="I262" s="8"/>
      <c r="J262" s="8"/>
      <c r="K262" s="29">
        <v>500</v>
      </c>
      <c r="L262" s="78"/>
      <c r="M262" s="37">
        <f>F262*G262*H262*I262*Baseline!$F$28</f>
        <v>0</v>
      </c>
      <c r="N262" s="37">
        <f>F262*G262*H262*J262*Baseline!$G$28</f>
        <v>0</v>
      </c>
      <c r="O262" s="60">
        <f>(M262*References!$C$27+N262*References!$C$26)/1000</f>
        <v>0</v>
      </c>
      <c r="P262" s="38">
        <f t="shared" si="30"/>
        <v>0</v>
      </c>
      <c r="Q262" s="38">
        <f>(M262*References!$C$57+Opportunities!N262*References!$C$56)/100</f>
        <v>0</v>
      </c>
      <c r="R262" s="35">
        <f t="shared" si="31"/>
        <v>0</v>
      </c>
      <c r="S262" s="36">
        <f>O262/'Graphs&amp;Analysis'!$D$24</f>
        <v>0</v>
      </c>
      <c r="T262" s="153"/>
      <c r="U262" s="153"/>
      <c r="W262" s="13" t="str">
        <f t="shared" si="32"/>
        <v/>
      </c>
    </row>
    <row r="263" spans="1:23">
      <c r="A263" s="13" t="str">
        <f>IF(T263="YES",MAX($A$12:A262)+1,"")</f>
        <v/>
      </c>
      <c r="B263" s="20"/>
      <c r="C263" s="5" t="str">
        <f t="shared" si="33"/>
        <v>Buildings Category 6</v>
      </c>
      <c r="D263" s="5" t="s">
        <v>52</v>
      </c>
      <c r="E263" s="5"/>
      <c r="F263" s="152"/>
      <c r="G263" s="234"/>
      <c r="H263" s="8"/>
      <c r="I263" s="8"/>
      <c r="J263" s="8"/>
      <c r="K263" s="29">
        <v>500</v>
      </c>
      <c r="L263" s="78"/>
      <c r="M263" s="37">
        <f>F263*G263*H263*I263*Baseline!$F$28</f>
        <v>0</v>
      </c>
      <c r="N263" s="37">
        <f>F263*G263*H263*J263*Baseline!$G$28</f>
        <v>0</v>
      </c>
      <c r="O263" s="60">
        <f>(M263*References!$C$27+N263*References!$C$26)/1000</f>
        <v>0</v>
      </c>
      <c r="P263" s="38">
        <f t="shared" si="30"/>
        <v>0</v>
      </c>
      <c r="Q263" s="38">
        <f>(M263*References!$C$57+Opportunities!N263*References!$C$56)/100</f>
        <v>0</v>
      </c>
      <c r="R263" s="35">
        <f t="shared" si="31"/>
        <v>0</v>
      </c>
      <c r="S263" s="36">
        <f>O263/'Graphs&amp;Analysis'!$D$24</f>
        <v>0</v>
      </c>
      <c r="T263" s="153"/>
      <c r="U263" s="153"/>
      <c r="W263" s="13" t="str">
        <f t="shared" si="32"/>
        <v/>
      </c>
    </row>
    <row r="264" spans="1:23">
      <c r="A264" s="13" t="str">
        <f>IF(T264="YES",MAX($A$12:A263)+1,"")</f>
        <v/>
      </c>
      <c r="C264" s="23"/>
      <c r="D264" s="23"/>
      <c r="E264" s="79"/>
      <c r="F264" s="23"/>
      <c r="G264" s="79"/>
      <c r="H264" s="79"/>
      <c r="I264" s="74"/>
      <c r="J264" s="23"/>
      <c r="K264" s="23"/>
      <c r="M264" s="23"/>
      <c r="N264" s="23"/>
      <c r="O264" s="23"/>
      <c r="P264" s="23"/>
      <c r="Q264" s="23"/>
      <c r="R264" s="23"/>
      <c r="S264" s="23"/>
      <c r="T264" s="23"/>
      <c r="U264" s="23"/>
    </row>
    <row r="265" spans="1:23">
      <c r="A265" s="13" t="str">
        <f>IF(T265="YES",MAX($A$12:A264)+1,"")</f>
        <v/>
      </c>
      <c r="B265" s="252" t="s">
        <v>128</v>
      </c>
      <c r="C265" s="252"/>
      <c r="G265" s="16"/>
      <c r="H265" s="16"/>
      <c r="I265" s="67"/>
      <c r="K265" s="68" t="s">
        <v>3</v>
      </c>
      <c r="L265" s="68"/>
      <c r="M265" s="69">
        <f>SUM(M228:M264)</f>
        <v>0</v>
      </c>
      <c r="N265" s="69">
        <f>SUM(N228:N264)</f>
        <v>0</v>
      </c>
      <c r="O265" s="69">
        <f>SUM(O228:O264)</f>
        <v>0</v>
      </c>
    </row>
    <row r="266" spans="1:23">
      <c r="A266" s="13" t="str">
        <f>IF(T266="YES",MAX($A$12:A265)+1,"")</f>
        <v/>
      </c>
      <c r="G266" s="16"/>
      <c r="H266" s="16"/>
      <c r="I266" s="67"/>
      <c r="K266" s="68" t="str">
        <f>CONCATENATE("Savings as a % of  ",C232," emissions")</f>
        <v>Savings as a % of  Buildings Category 6 emissions</v>
      </c>
      <c r="L266" s="68"/>
      <c r="M266" s="186" t="e">
        <f>M265/Baseline!F28</f>
        <v>#DIV/0!</v>
      </c>
      <c r="N266" s="186" t="e">
        <f>N265/Baseline!G28</f>
        <v>#DIV/0!</v>
      </c>
      <c r="O266" s="186" t="e">
        <f>O265/Baseline!H28</f>
        <v>#DIV/0!</v>
      </c>
    </row>
    <row r="267" spans="1:23">
      <c r="A267" s="13" t="str">
        <f>IF(T267="YES",MAX($A$12:A266)+1,"")</f>
        <v/>
      </c>
    </row>
    <row r="268" spans="1:23">
      <c r="A268" s="13" t="str">
        <f>IF(T268="YES",MAX($A$12:A267)+1,"")</f>
        <v/>
      </c>
      <c r="B268" s="66" t="s">
        <v>195</v>
      </c>
      <c r="C268" s="73"/>
      <c r="D268" s="22"/>
      <c r="E268" s="237"/>
      <c r="F268" s="22"/>
      <c r="G268" s="22"/>
      <c r="H268" s="22"/>
      <c r="I268" s="22"/>
      <c r="J268" s="22"/>
      <c r="K268" s="22"/>
      <c r="M268" s="22"/>
      <c r="N268" s="22"/>
      <c r="O268" s="22"/>
      <c r="P268" s="22"/>
      <c r="Q268" s="22"/>
      <c r="R268" s="22"/>
      <c r="S268" s="22"/>
      <c r="T268" s="22"/>
      <c r="U268" s="22"/>
    </row>
    <row r="269" spans="1:23" ht="51">
      <c r="A269" s="13" t="str">
        <f>IF(T269="YES",MAX($A$12:A268)+1,"")</f>
        <v/>
      </c>
      <c r="B269" s="20"/>
      <c r="C269" s="1" t="s">
        <v>151</v>
      </c>
      <c r="D269" s="1" t="s">
        <v>5</v>
      </c>
      <c r="E269" s="1" t="s">
        <v>6</v>
      </c>
      <c r="F269" s="1" t="s">
        <v>7</v>
      </c>
      <c r="G269" s="1" t="s">
        <v>8</v>
      </c>
      <c r="H269" s="1" t="s">
        <v>9</v>
      </c>
      <c r="I269" s="1" t="s">
        <v>10</v>
      </c>
      <c r="J269" s="1" t="s">
        <v>11</v>
      </c>
      <c r="K269" s="1" t="s">
        <v>109</v>
      </c>
      <c r="L269" s="75"/>
      <c r="M269" s="1" t="s">
        <v>12</v>
      </c>
      <c r="N269" s="1" t="s">
        <v>13</v>
      </c>
      <c r="O269" s="1" t="s">
        <v>14</v>
      </c>
      <c r="P269" s="1" t="s">
        <v>108</v>
      </c>
      <c r="Q269" s="1" t="s">
        <v>111</v>
      </c>
      <c r="R269" s="1" t="s">
        <v>150</v>
      </c>
      <c r="S269" s="1" t="s">
        <v>77</v>
      </c>
      <c r="T269" s="1" t="s">
        <v>110</v>
      </c>
      <c r="U269" s="1" t="s">
        <v>160</v>
      </c>
    </row>
    <row r="270" spans="1:23">
      <c r="A270" s="13" t="str">
        <f>IF(T270="YES",MAX($A$12:A269)+1,"")</f>
        <v/>
      </c>
      <c r="B270" s="20"/>
      <c r="C270" s="5" t="str">
        <f>Baseline!C46</f>
        <v>Buildings Category 7</v>
      </c>
      <c r="D270" s="5" t="s">
        <v>15</v>
      </c>
      <c r="E270" s="5" t="s">
        <v>16</v>
      </c>
      <c r="F270" s="152"/>
      <c r="G270" s="234"/>
      <c r="H270" s="233">
        <v>2.9411764705882346E-2</v>
      </c>
      <c r="I270" s="231"/>
      <c r="J270" s="233">
        <v>0.05</v>
      </c>
      <c r="K270" s="235">
        <v>500</v>
      </c>
      <c r="L270" s="78"/>
      <c r="M270" s="37">
        <f>F270*G270*H270*I270*Baseline!$F$29</f>
        <v>0</v>
      </c>
      <c r="N270" s="37">
        <f>F270*G270*H270*J270*Baseline!$G$29</f>
        <v>0</v>
      </c>
      <c r="O270" s="60">
        <f>(M270*References!$C$27+N270*References!$C$26)/1000</f>
        <v>0</v>
      </c>
      <c r="P270" s="38">
        <f t="shared" ref="P270:P305" si="36">O270*K270</f>
        <v>0</v>
      </c>
      <c r="Q270" s="38">
        <f>(M270*References!$C$57+Opportunities!N270*References!$C$56)/100</f>
        <v>0</v>
      </c>
      <c r="R270" s="35">
        <f t="shared" ref="R270:R305" si="37">IF(ISERROR(P270/Q270),0,P270/Q270)</f>
        <v>0</v>
      </c>
      <c r="S270" s="36">
        <f>O270/'Graphs&amp;Analysis'!$D$24</f>
        <v>0</v>
      </c>
      <c r="T270" s="153"/>
      <c r="U270" s="153"/>
      <c r="W270" s="13" t="str">
        <f t="shared" ref="W270:W305" si="38">IF(O270&gt;0,"Buildings","")</f>
        <v/>
      </c>
    </row>
    <row r="271" spans="1:23" ht="25.5">
      <c r="A271" s="13" t="str">
        <f>IF(T271="YES",MAX($A$12:A270)+1,"")</f>
        <v/>
      </c>
      <c r="B271" s="20"/>
      <c r="C271" s="5" t="str">
        <f>C270</f>
        <v>Buildings Category 7</v>
      </c>
      <c r="D271" s="5" t="s">
        <v>17</v>
      </c>
      <c r="E271" s="5" t="s">
        <v>18</v>
      </c>
      <c r="F271" s="152"/>
      <c r="G271" s="234"/>
      <c r="H271" s="233">
        <v>2.9411764705882346E-2</v>
      </c>
      <c r="I271" s="231"/>
      <c r="J271" s="233">
        <v>0.05</v>
      </c>
      <c r="K271" s="235">
        <v>500</v>
      </c>
      <c r="L271" s="77"/>
      <c r="M271" s="37">
        <f>F271*G271*H271*I271*Baseline!$F$29</f>
        <v>0</v>
      </c>
      <c r="N271" s="37">
        <f>F271*G271*H271*J271*Baseline!$G$29</f>
        <v>0</v>
      </c>
      <c r="O271" s="60">
        <f>(M271*References!$C$27+N271*References!$C$26)/1000</f>
        <v>0</v>
      </c>
      <c r="P271" s="38">
        <f t="shared" si="36"/>
        <v>0</v>
      </c>
      <c r="Q271" s="38">
        <f>(M271*References!$C$57+Opportunities!N271*References!$C$56)/100</f>
        <v>0</v>
      </c>
      <c r="R271" s="35">
        <f t="shared" si="37"/>
        <v>0</v>
      </c>
      <c r="S271" s="36">
        <f>O271/'Graphs&amp;Analysis'!$D$24</f>
        <v>0</v>
      </c>
      <c r="T271" s="153"/>
      <c r="U271" s="153"/>
      <c r="W271" s="13" t="str">
        <f t="shared" si="38"/>
        <v/>
      </c>
    </row>
    <row r="272" spans="1:23">
      <c r="A272" s="13" t="str">
        <f>IF(T272="YES",MAX($A$12:A271)+1,"")</f>
        <v/>
      </c>
      <c r="B272" s="20"/>
      <c r="C272" s="5" t="str">
        <f t="shared" ref="C272:C305" si="39">C271</f>
        <v>Buildings Category 7</v>
      </c>
      <c r="D272" s="5" t="s">
        <v>24</v>
      </c>
      <c r="E272" s="5" t="s">
        <v>24</v>
      </c>
      <c r="F272" s="152"/>
      <c r="G272" s="234"/>
      <c r="H272" s="233">
        <v>0.5</v>
      </c>
      <c r="I272" s="233">
        <v>0.05</v>
      </c>
      <c r="J272" s="233">
        <v>0.02</v>
      </c>
      <c r="K272" s="235">
        <v>470</v>
      </c>
      <c r="L272" s="77"/>
      <c r="M272" s="37">
        <f>F272*G272*H272*I272*Baseline!$F$29</f>
        <v>0</v>
      </c>
      <c r="N272" s="37">
        <f>F272*G272*H272*J272*Baseline!$G$29</f>
        <v>0</v>
      </c>
      <c r="O272" s="60">
        <f>(M272*References!$C$27+N272*References!$C$26)/1000</f>
        <v>0</v>
      </c>
      <c r="P272" s="38">
        <f t="shared" si="36"/>
        <v>0</v>
      </c>
      <c r="Q272" s="38">
        <f>(M272*References!$C$57+Opportunities!N272*References!$C$56)/100</f>
        <v>0</v>
      </c>
      <c r="R272" s="35">
        <f t="shared" si="37"/>
        <v>0</v>
      </c>
      <c r="S272" s="36">
        <f>O272/'Graphs&amp;Analysis'!$D$24</f>
        <v>0</v>
      </c>
      <c r="T272" s="153"/>
      <c r="U272" s="153"/>
      <c r="W272" s="13" t="str">
        <f t="shared" si="38"/>
        <v/>
      </c>
    </row>
    <row r="273" spans="1:23" ht="12.75" customHeight="1">
      <c r="A273" s="13" t="str">
        <f>IF(T273="YES",MAX($A$12:A272)+1,"")</f>
        <v/>
      </c>
      <c r="B273" s="20"/>
      <c r="C273" s="5" t="str">
        <f t="shared" si="39"/>
        <v>Buildings Category 7</v>
      </c>
      <c r="D273" s="5" t="s">
        <v>25</v>
      </c>
      <c r="E273" s="5" t="s">
        <v>26</v>
      </c>
      <c r="F273" s="152"/>
      <c r="G273" s="234"/>
      <c r="H273" s="233">
        <v>0.5</v>
      </c>
      <c r="I273" s="233">
        <v>0.05</v>
      </c>
      <c r="J273" s="233">
        <v>0.02</v>
      </c>
      <c r="K273" s="235">
        <v>427</v>
      </c>
      <c r="L273" s="77"/>
      <c r="M273" s="37">
        <f>F273*G273*H273*I273*Baseline!$F$29</f>
        <v>0</v>
      </c>
      <c r="N273" s="37">
        <f>F273*G273*H273*J273*Baseline!$G$29</f>
        <v>0</v>
      </c>
      <c r="O273" s="60">
        <f>(M273*References!$C$27+N273*References!$C$26)/1000</f>
        <v>0</v>
      </c>
      <c r="P273" s="38">
        <f t="shared" si="36"/>
        <v>0</v>
      </c>
      <c r="Q273" s="38">
        <f>(M273*References!$C$57+Opportunities!N273*References!$C$56)/100</f>
        <v>0</v>
      </c>
      <c r="R273" s="35">
        <f t="shared" si="37"/>
        <v>0</v>
      </c>
      <c r="S273" s="36">
        <f>O273/'Graphs&amp;Analysis'!$D$24</f>
        <v>0</v>
      </c>
      <c r="T273" s="153"/>
      <c r="U273" s="153"/>
      <c r="W273" s="13" t="str">
        <f t="shared" si="38"/>
        <v/>
      </c>
    </row>
    <row r="274" spans="1:23" ht="31.5" customHeight="1">
      <c r="A274" s="13" t="str">
        <f>IF(T274="YES",MAX($A$12:A273)+1,"")</f>
        <v/>
      </c>
      <c r="B274" s="20"/>
      <c r="C274" s="5" t="str">
        <f t="shared" si="39"/>
        <v>Buildings Category 7</v>
      </c>
      <c r="D274" s="5" t="s">
        <v>19</v>
      </c>
      <c r="E274" s="5" t="s">
        <v>22</v>
      </c>
      <c r="F274" s="152"/>
      <c r="G274" s="234"/>
      <c r="H274" s="233">
        <v>0.93939393939393934</v>
      </c>
      <c r="I274" s="232">
        <v>0.05</v>
      </c>
      <c r="J274" s="231"/>
      <c r="K274" s="235">
        <v>628</v>
      </c>
      <c r="L274" s="77"/>
      <c r="M274" s="37">
        <f>F274*G274*H274*I274*Baseline!$F$29</f>
        <v>0</v>
      </c>
      <c r="N274" s="37">
        <f>F274*G274*H274*J274*Baseline!$G$29</f>
        <v>0</v>
      </c>
      <c r="O274" s="60">
        <f>(M274*References!$C$27+N274*References!$C$26)/1000</f>
        <v>0</v>
      </c>
      <c r="P274" s="38">
        <f t="shared" si="36"/>
        <v>0</v>
      </c>
      <c r="Q274" s="38">
        <f>(M274*References!$C$57+Opportunities!N274*References!$C$56)/100</f>
        <v>0</v>
      </c>
      <c r="R274" s="35">
        <f t="shared" si="37"/>
        <v>0</v>
      </c>
      <c r="S274" s="36">
        <f>O274/'Graphs&amp;Analysis'!$D$24</f>
        <v>0</v>
      </c>
      <c r="T274" s="153"/>
      <c r="U274" s="153"/>
      <c r="W274" s="13" t="str">
        <f t="shared" si="38"/>
        <v/>
      </c>
    </row>
    <row r="275" spans="1:23">
      <c r="A275" s="13" t="str">
        <f>IF(T275="YES",MAX($A$12:A274)+1,"")</f>
        <v/>
      </c>
      <c r="B275" s="20"/>
      <c r="C275" s="5" t="str">
        <f t="shared" si="39"/>
        <v>Buildings Category 7</v>
      </c>
      <c r="D275" s="5" t="s">
        <v>19</v>
      </c>
      <c r="E275" s="5" t="s">
        <v>23</v>
      </c>
      <c r="F275" s="152"/>
      <c r="G275" s="234"/>
      <c r="H275" s="233">
        <v>0.93939393939393934</v>
      </c>
      <c r="I275" s="232">
        <v>0.1</v>
      </c>
      <c r="J275" s="231"/>
      <c r="K275" s="235">
        <v>574</v>
      </c>
      <c r="L275" s="77"/>
      <c r="M275" s="37">
        <f>F275*G275*H275*I275*Baseline!$F$29</f>
        <v>0</v>
      </c>
      <c r="N275" s="37">
        <f>F275*G275*H275*J275*Baseline!$G$29</f>
        <v>0</v>
      </c>
      <c r="O275" s="60">
        <f>(M275*References!$C$27+N275*References!$C$26)/1000</f>
        <v>0</v>
      </c>
      <c r="P275" s="38">
        <f t="shared" si="36"/>
        <v>0</v>
      </c>
      <c r="Q275" s="38">
        <f>(M275*References!$C$57+Opportunities!N275*References!$C$56)/100</f>
        <v>0</v>
      </c>
      <c r="R275" s="35">
        <f t="shared" si="37"/>
        <v>0</v>
      </c>
      <c r="S275" s="36">
        <f>O275/'Graphs&amp;Analysis'!$D$24</f>
        <v>0</v>
      </c>
      <c r="T275" s="153"/>
      <c r="U275" s="153"/>
      <c r="W275" s="13" t="str">
        <f t="shared" si="38"/>
        <v/>
      </c>
    </row>
    <row r="276" spans="1:23">
      <c r="A276" s="13" t="str">
        <f>IF(T276="YES",MAX($A$12:A275)+1,"")</f>
        <v/>
      </c>
      <c r="B276" s="20"/>
      <c r="C276" s="5" t="str">
        <f t="shared" si="39"/>
        <v>Buildings Category 7</v>
      </c>
      <c r="D276" s="5" t="s">
        <v>19</v>
      </c>
      <c r="E276" s="5" t="s">
        <v>21</v>
      </c>
      <c r="F276" s="152"/>
      <c r="G276" s="234"/>
      <c r="H276" s="233">
        <v>0.93939393939393934</v>
      </c>
      <c r="I276" s="232">
        <v>0.05</v>
      </c>
      <c r="J276" s="231"/>
      <c r="K276" s="235">
        <v>566</v>
      </c>
      <c r="L276" s="77"/>
      <c r="M276" s="37">
        <f>F276*G276*H276*I276*Baseline!$F$29</f>
        <v>0</v>
      </c>
      <c r="N276" s="37">
        <f>F276*G276*H276*J276*Baseline!$G$29</f>
        <v>0</v>
      </c>
      <c r="O276" s="60">
        <f>(M276*References!$C$27+N276*References!$C$26)/1000</f>
        <v>0</v>
      </c>
      <c r="P276" s="38">
        <f t="shared" si="36"/>
        <v>0</v>
      </c>
      <c r="Q276" s="38">
        <f>(M276*References!$C$57+Opportunities!N276*References!$C$56)/100</f>
        <v>0</v>
      </c>
      <c r="R276" s="35">
        <f t="shared" si="37"/>
        <v>0</v>
      </c>
      <c r="S276" s="36">
        <f>O276/'Graphs&amp;Analysis'!$D$24</f>
        <v>0</v>
      </c>
      <c r="T276" s="153"/>
      <c r="U276" s="153"/>
      <c r="W276" s="13" t="str">
        <f t="shared" si="38"/>
        <v/>
      </c>
    </row>
    <row r="277" spans="1:23">
      <c r="A277" s="13" t="str">
        <f>IF(T277="YES",MAX($A$12:A276)+1,"")</f>
        <v/>
      </c>
      <c r="B277" s="20"/>
      <c r="C277" s="5" t="str">
        <f t="shared" si="39"/>
        <v>Buildings Category 7</v>
      </c>
      <c r="D277" s="5" t="s">
        <v>19</v>
      </c>
      <c r="E277" s="5" t="s">
        <v>20</v>
      </c>
      <c r="F277" s="152"/>
      <c r="G277" s="234"/>
      <c r="H277" s="233">
        <v>0.93939393939393934</v>
      </c>
      <c r="I277" s="232">
        <v>0.1</v>
      </c>
      <c r="J277" s="231"/>
      <c r="K277" s="235">
        <v>750</v>
      </c>
      <c r="L277" s="77"/>
      <c r="M277" s="37">
        <f>F277*G277*H277*I277*Baseline!$F$29</f>
        <v>0</v>
      </c>
      <c r="N277" s="37">
        <f>F277*G277*H277*J277*Baseline!$G$29</f>
        <v>0</v>
      </c>
      <c r="O277" s="60">
        <f>(M277*References!$C$27+N277*References!$C$26)/1000</f>
        <v>0</v>
      </c>
      <c r="P277" s="38">
        <f t="shared" si="36"/>
        <v>0</v>
      </c>
      <c r="Q277" s="38">
        <f>(M277*References!$C$57+Opportunities!N277*References!$C$56)/100</f>
        <v>0</v>
      </c>
      <c r="R277" s="35">
        <f t="shared" si="37"/>
        <v>0</v>
      </c>
      <c r="S277" s="36">
        <f>O277/'Graphs&amp;Analysis'!$D$24</f>
        <v>0</v>
      </c>
      <c r="T277" s="153"/>
      <c r="U277" s="153"/>
      <c r="W277" s="13" t="str">
        <f t="shared" si="38"/>
        <v/>
      </c>
    </row>
    <row r="278" spans="1:23" ht="25.5">
      <c r="A278" s="13" t="str">
        <f>IF(T278="YES",MAX($A$12:A277)+1,"")</f>
        <v/>
      </c>
      <c r="B278" s="20"/>
      <c r="C278" s="5" t="str">
        <f t="shared" si="39"/>
        <v>Buildings Category 7</v>
      </c>
      <c r="D278" s="5" t="s">
        <v>29</v>
      </c>
      <c r="E278" s="5" t="s">
        <v>30</v>
      </c>
      <c r="F278" s="152"/>
      <c r="G278" s="234"/>
      <c r="H278" s="233">
        <v>0.93939393939393934</v>
      </c>
      <c r="I278" s="232">
        <v>0.15</v>
      </c>
      <c r="J278" s="231"/>
      <c r="K278" s="235">
        <v>641</v>
      </c>
      <c r="L278" s="77"/>
      <c r="M278" s="37">
        <f>F278*G278*H278*I278*Baseline!$F$29</f>
        <v>0</v>
      </c>
      <c r="N278" s="37">
        <f>F278*G278*H278*J278*Baseline!$G$29</f>
        <v>0</v>
      </c>
      <c r="O278" s="60">
        <f>(M278*References!$C$27+N278*References!$C$26)/1000</f>
        <v>0</v>
      </c>
      <c r="P278" s="38">
        <f t="shared" si="36"/>
        <v>0</v>
      </c>
      <c r="Q278" s="38">
        <f>(M278*References!$C$57+Opportunities!N278*References!$C$56)/100</f>
        <v>0</v>
      </c>
      <c r="R278" s="35">
        <f t="shared" si="37"/>
        <v>0</v>
      </c>
      <c r="S278" s="36">
        <f>O278/'Graphs&amp;Analysis'!$D$24</f>
        <v>0</v>
      </c>
      <c r="T278" s="153"/>
      <c r="U278" s="153"/>
      <c r="W278" s="13" t="str">
        <f t="shared" si="38"/>
        <v/>
      </c>
    </row>
    <row r="279" spans="1:23">
      <c r="A279" s="13" t="str">
        <f>IF(T279="YES",MAX($A$12:A278)+1,"")</f>
        <v/>
      </c>
      <c r="B279" s="20"/>
      <c r="C279" s="5" t="str">
        <f t="shared" si="39"/>
        <v>Buildings Category 7</v>
      </c>
      <c r="D279" s="5" t="s">
        <v>29</v>
      </c>
      <c r="E279" s="5" t="s">
        <v>31</v>
      </c>
      <c r="F279" s="152"/>
      <c r="G279" s="234"/>
      <c r="H279" s="233">
        <v>0.93939393939393934</v>
      </c>
      <c r="I279" s="232">
        <v>0.1</v>
      </c>
      <c r="J279" s="231"/>
      <c r="K279" s="235">
        <v>396</v>
      </c>
      <c r="L279" s="77"/>
      <c r="M279" s="37">
        <f>F279*G279*H279*I279*Baseline!$F$29</f>
        <v>0</v>
      </c>
      <c r="N279" s="37">
        <f>F279*G279*H279*J279*Baseline!$G$29</f>
        <v>0</v>
      </c>
      <c r="O279" s="60">
        <f>(M279*References!$C$27+N279*References!$C$26)/1000</f>
        <v>0</v>
      </c>
      <c r="P279" s="38">
        <f t="shared" si="36"/>
        <v>0</v>
      </c>
      <c r="Q279" s="38">
        <f>(M279*References!$C$57+Opportunities!N279*References!$C$56)/100</f>
        <v>0</v>
      </c>
      <c r="R279" s="35">
        <f t="shared" si="37"/>
        <v>0</v>
      </c>
      <c r="S279" s="36">
        <f>O279/'Graphs&amp;Analysis'!$D$24</f>
        <v>0</v>
      </c>
      <c r="T279" s="153"/>
      <c r="U279" s="153"/>
      <c r="W279" s="13" t="str">
        <f t="shared" si="38"/>
        <v/>
      </c>
    </row>
    <row r="280" spans="1:23">
      <c r="A280" s="13" t="str">
        <f>IF(T280="YES",MAX($A$12:A279)+1,"")</f>
        <v/>
      </c>
      <c r="B280" s="20"/>
      <c r="C280" s="5" t="str">
        <f t="shared" si="39"/>
        <v>Buildings Category 7</v>
      </c>
      <c r="D280" s="5" t="s">
        <v>29</v>
      </c>
      <c r="E280" s="5" t="s">
        <v>32</v>
      </c>
      <c r="F280" s="152"/>
      <c r="G280" s="234"/>
      <c r="H280" s="233">
        <v>0.93939393939393934</v>
      </c>
      <c r="I280" s="232">
        <v>7.0000000000000007E-2</v>
      </c>
      <c r="J280" s="231"/>
      <c r="K280" s="235">
        <v>470</v>
      </c>
      <c r="L280" s="77"/>
      <c r="M280" s="37">
        <f>F280*G280*H280*I280*Baseline!$F$29</f>
        <v>0</v>
      </c>
      <c r="N280" s="37">
        <f>F280*G280*H280*J280*Baseline!$G$29</f>
        <v>0</v>
      </c>
      <c r="O280" s="60">
        <f>(M280*References!$C$27+N280*References!$C$26)/1000</f>
        <v>0</v>
      </c>
      <c r="P280" s="38">
        <f t="shared" si="36"/>
        <v>0</v>
      </c>
      <c r="Q280" s="38">
        <f>(M280*References!$C$57+Opportunities!N280*References!$C$56)/100</f>
        <v>0</v>
      </c>
      <c r="R280" s="35">
        <f t="shared" si="37"/>
        <v>0</v>
      </c>
      <c r="S280" s="36">
        <f>O280/'Graphs&amp;Analysis'!$D$24</f>
        <v>0</v>
      </c>
      <c r="T280" s="153"/>
      <c r="U280" s="153"/>
      <c r="W280" s="13" t="str">
        <f t="shared" si="38"/>
        <v/>
      </c>
    </row>
    <row r="281" spans="1:23">
      <c r="A281" s="13" t="str">
        <f>IF(T281="YES",MAX($A$12:A280)+1,"")</f>
        <v/>
      </c>
      <c r="B281" s="20"/>
      <c r="C281" s="5" t="str">
        <f t="shared" si="39"/>
        <v>Buildings Category 7</v>
      </c>
      <c r="D281" s="5" t="s">
        <v>29</v>
      </c>
      <c r="E281" s="5" t="s">
        <v>33</v>
      </c>
      <c r="F281" s="152"/>
      <c r="G281" s="234"/>
      <c r="H281" s="233">
        <v>0.93939393939393934</v>
      </c>
      <c r="I281" s="232">
        <v>0.05</v>
      </c>
      <c r="J281" s="231"/>
      <c r="K281" s="235">
        <v>682</v>
      </c>
      <c r="L281" s="77"/>
      <c r="M281" s="37">
        <f>F281*G281*H281*I281*Baseline!$F$29</f>
        <v>0</v>
      </c>
      <c r="N281" s="37">
        <f>F281*G281*H281*J281*Baseline!$G$29</f>
        <v>0</v>
      </c>
      <c r="O281" s="60">
        <f>(M281*References!$C$27+N281*References!$C$26)/1000</f>
        <v>0</v>
      </c>
      <c r="P281" s="38">
        <f t="shared" si="36"/>
        <v>0</v>
      </c>
      <c r="Q281" s="38">
        <f>(M281*References!$C$57+Opportunities!N281*References!$C$56)/100</f>
        <v>0</v>
      </c>
      <c r="R281" s="35">
        <f t="shared" si="37"/>
        <v>0</v>
      </c>
      <c r="S281" s="36">
        <f>O281/'Graphs&amp;Analysis'!$D$24</f>
        <v>0</v>
      </c>
      <c r="T281" s="153"/>
      <c r="U281" s="153"/>
      <c r="W281" s="13" t="str">
        <f t="shared" si="38"/>
        <v/>
      </c>
    </row>
    <row r="282" spans="1:23" ht="25.5">
      <c r="A282" s="13" t="str">
        <f>IF(T282="YES",MAX($A$12:A281)+1,"")</f>
        <v/>
      </c>
      <c r="B282" s="20"/>
      <c r="C282" s="5" t="str">
        <f t="shared" si="39"/>
        <v>Buildings Category 7</v>
      </c>
      <c r="D282" s="5" t="s">
        <v>34</v>
      </c>
      <c r="E282" s="5" t="s">
        <v>35</v>
      </c>
      <c r="F282" s="152"/>
      <c r="G282" s="234"/>
      <c r="H282" s="232">
        <v>0.05</v>
      </c>
      <c r="I282" s="232">
        <v>0.7</v>
      </c>
      <c r="J282" s="231"/>
      <c r="K282" s="235">
        <v>472</v>
      </c>
      <c r="L282" s="77"/>
      <c r="M282" s="37">
        <f>F282*G282*H282*I282*Baseline!$F$29</f>
        <v>0</v>
      </c>
      <c r="N282" s="37">
        <f>F282*G282*H282*J282*Baseline!$G$29</f>
        <v>0</v>
      </c>
      <c r="O282" s="60">
        <f>(M282*References!$C$27+N282*References!$C$26)/1000</f>
        <v>0</v>
      </c>
      <c r="P282" s="38">
        <f t="shared" si="36"/>
        <v>0</v>
      </c>
      <c r="Q282" s="38">
        <f>(M282*References!$C$57+Opportunities!N282*References!$C$56)/100</f>
        <v>0</v>
      </c>
      <c r="R282" s="35">
        <f t="shared" si="37"/>
        <v>0</v>
      </c>
      <c r="S282" s="36">
        <f>O282/'Graphs&amp;Analysis'!$D$24</f>
        <v>0</v>
      </c>
      <c r="T282" s="153"/>
      <c r="U282" s="153"/>
      <c r="W282" s="13" t="str">
        <f t="shared" si="38"/>
        <v/>
      </c>
    </row>
    <row r="283" spans="1:23" ht="25.5">
      <c r="A283" s="13" t="str">
        <f>IF(T283="YES",MAX($A$12:A282)+1,"")</f>
        <v/>
      </c>
      <c r="B283" s="20"/>
      <c r="C283" s="5" t="str">
        <f t="shared" si="39"/>
        <v>Buildings Category 7</v>
      </c>
      <c r="D283" s="5" t="s">
        <v>27</v>
      </c>
      <c r="E283" s="5" t="s">
        <v>122</v>
      </c>
      <c r="F283" s="152"/>
      <c r="G283" s="234"/>
      <c r="H283" s="232">
        <v>1</v>
      </c>
      <c r="I283" s="232">
        <v>0.8</v>
      </c>
      <c r="J283" s="231"/>
      <c r="K283" s="235">
        <v>803</v>
      </c>
      <c r="L283" s="77"/>
      <c r="M283" s="37">
        <f>F283*G283*H283*I283*Baseline!$F$29</f>
        <v>0</v>
      </c>
      <c r="N283" s="37">
        <f>F283*G283*H283*J283*Baseline!$G$29</f>
        <v>0</v>
      </c>
      <c r="O283" s="60">
        <f>(M283*References!$C$27+N283*References!$C$26)/1000</f>
        <v>0</v>
      </c>
      <c r="P283" s="38">
        <f t="shared" si="36"/>
        <v>0</v>
      </c>
      <c r="Q283" s="38">
        <f>(M283*References!$C$57+Opportunities!N283*References!$C$56)/100</f>
        <v>0</v>
      </c>
      <c r="R283" s="35">
        <f t="shared" si="37"/>
        <v>0</v>
      </c>
      <c r="S283" s="36">
        <f>O283/'Graphs&amp;Analysis'!$D$24</f>
        <v>0</v>
      </c>
      <c r="T283" s="153"/>
      <c r="U283" s="153"/>
      <c r="W283" s="13" t="str">
        <f t="shared" si="38"/>
        <v/>
      </c>
    </row>
    <row r="284" spans="1:23" ht="25.5">
      <c r="A284" s="13" t="str">
        <f>IF(T284="YES",MAX($A$12:A283)+1,"")</f>
        <v/>
      </c>
      <c r="B284" s="20"/>
      <c r="C284" s="5" t="str">
        <f t="shared" si="39"/>
        <v>Buildings Category 7</v>
      </c>
      <c r="D284" s="5" t="s">
        <v>27</v>
      </c>
      <c r="E284" s="5" t="s">
        <v>28</v>
      </c>
      <c r="F284" s="152"/>
      <c r="G284" s="234"/>
      <c r="H284" s="232">
        <v>1</v>
      </c>
      <c r="I284" s="232">
        <v>0.2</v>
      </c>
      <c r="J284" s="231"/>
      <c r="K284" s="235">
        <v>803</v>
      </c>
      <c r="L284" s="77"/>
      <c r="M284" s="37">
        <f>F284*G284*H284*I284*Baseline!$F$29</f>
        <v>0</v>
      </c>
      <c r="N284" s="37">
        <f>F284*G284*H284*J284*Baseline!$G$29</f>
        <v>0</v>
      </c>
      <c r="O284" s="60">
        <f>(M284*References!$C$27+N284*References!$C$26)/1000</f>
        <v>0</v>
      </c>
      <c r="P284" s="38">
        <f t="shared" si="36"/>
        <v>0</v>
      </c>
      <c r="Q284" s="38">
        <f>(M284*References!$C$57+Opportunities!N284*References!$C$56)/100</f>
        <v>0</v>
      </c>
      <c r="R284" s="35">
        <f t="shared" si="37"/>
        <v>0</v>
      </c>
      <c r="S284" s="36">
        <f>O284/'Graphs&amp;Analysis'!$D$24</f>
        <v>0</v>
      </c>
      <c r="T284" s="153"/>
      <c r="U284" s="153"/>
      <c r="W284" s="13" t="str">
        <f t="shared" si="38"/>
        <v/>
      </c>
    </row>
    <row r="285" spans="1:23" ht="25.5">
      <c r="A285" s="13" t="str">
        <f>IF(T285="YES",MAX($A$12:A284)+1,"")</f>
        <v/>
      </c>
      <c r="B285" s="20"/>
      <c r="C285" s="5" t="str">
        <f t="shared" si="39"/>
        <v>Buildings Category 7</v>
      </c>
      <c r="D285" s="5" t="s">
        <v>47</v>
      </c>
      <c r="E285" s="5" t="s">
        <v>51</v>
      </c>
      <c r="F285" s="152"/>
      <c r="G285" s="234"/>
      <c r="H285" s="233">
        <v>0.17647058823529407</v>
      </c>
      <c r="I285" s="231"/>
      <c r="J285" s="232">
        <v>0.1</v>
      </c>
      <c r="K285" s="235">
        <v>294</v>
      </c>
      <c r="L285" s="77"/>
      <c r="M285" s="37">
        <f>F285*G285*H285*I285*Baseline!$F$29</f>
        <v>0</v>
      </c>
      <c r="N285" s="37">
        <f>F285*G285*H285*J285*Baseline!$G$29</f>
        <v>0</v>
      </c>
      <c r="O285" s="60">
        <f>(M285*References!$C$27+N285*References!$C$26)/1000</f>
        <v>0</v>
      </c>
      <c r="P285" s="38">
        <f t="shared" si="36"/>
        <v>0</v>
      </c>
      <c r="Q285" s="38">
        <f>(M285*References!$C$57+Opportunities!N285*References!$C$56)/100</f>
        <v>0</v>
      </c>
      <c r="R285" s="35">
        <f t="shared" si="37"/>
        <v>0</v>
      </c>
      <c r="S285" s="36">
        <f>O285/'Graphs&amp;Analysis'!$D$24</f>
        <v>0</v>
      </c>
      <c r="T285" s="153"/>
      <c r="U285" s="153"/>
      <c r="W285" s="13" t="str">
        <f t="shared" si="38"/>
        <v/>
      </c>
    </row>
    <row r="286" spans="1:23">
      <c r="A286" s="13" t="str">
        <f>IF(T286="YES",MAX($A$12:A285)+1,"")</f>
        <v/>
      </c>
      <c r="B286" s="20"/>
      <c r="C286" s="5" t="str">
        <f t="shared" si="39"/>
        <v>Buildings Category 7</v>
      </c>
      <c r="D286" s="5" t="s">
        <v>47</v>
      </c>
      <c r="E286" s="5" t="s">
        <v>50</v>
      </c>
      <c r="F286" s="152"/>
      <c r="G286" s="234"/>
      <c r="H286" s="233">
        <v>0.17647058823529407</v>
      </c>
      <c r="I286" s="231"/>
      <c r="J286" s="232">
        <v>0.1</v>
      </c>
      <c r="K286" s="235">
        <v>4202</v>
      </c>
      <c r="L286" s="77"/>
      <c r="M286" s="37">
        <f>F286*G286*H286*I286*Baseline!$F$29</f>
        <v>0</v>
      </c>
      <c r="N286" s="37">
        <f>F286*G286*H286*J286*Baseline!$G$29</f>
        <v>0</v>
      </c>
      <c r="O286" s="60">
        <f>(M286*References!$C$27+N286*References!$C$26)/1000</f>
        <v>0</v>
      </c>
      <c r="P286" s="38">
        <f t="shared" si="36"/>
        <v>0</v>
      </c>
      <c r="Q286" s="38">
        <f>(M286*References!$C$57+Opportunities!N286*References!$C$56)/100</f>
        <v>0</v>
      </c>
      <c r="R286" s="35">
        <f t="shared" si="37"/>
        <v>0</v>
      </c>
      <c r="S286" s="36">
        <f>O286/'Graphs&amp;Analysis'!$D$24</f>
        <v>0</v>
      </c>
      <c r="T286" s="153"/>
      <c r="U286" s="153"/>
      <c r="W286" s="13" t="str">
        <f t="shared" si="38"/>
        <v/>
      </c>
    </row>
    <row r="287" spans="1:23">
      <c r="A287" s="13" t="str">
        <f>IF(T287="YES",MAX($A$12:A286)+1,"")</f>
        <v/>
      </c>
      <c r="B287" s="20"/>
      <c r="C287" s="5" t="str">
        <f t="shared" si="39"/>
        <v>Buildings Category 7</v>
      </c>
      <c r="D287" s="5" t="s">
        <v>47</v>
      </c>
      <c r="E287" s="5" t="s">
        <v>49</v>
      </c>
      <c r="F287" s="152"/>
      <c r="G287" s="234"/>
      <c r="H287" s="233">
        <v>0.17647058823529407</v>
      </c>
      <c r="I287" s="231"/>
      <c r="J287" s="232">
        <v>0.1</v>
      </c>
      <c r="K287" s="235">
        <v>1200</v>
      </c>
      <c r="L287" s="77"/>
      <c r="M287" s="37">
        <f>F287*G287*H287*I287*Baseline!$F$29</f>
        <v>0</v>
      </c>
      <c r="N287" s="37">
        <f>F287*G287*H287*J287*Baseline!$G$29</f>
        <v>0</v>
      </c>
      <c r="O287" s="60">
        <f>(M287*References!$C$27+N287*References!$C$26)/1000</f>
        <v>0</v>
      </c>
      <c r="P287" s="38">
        <f t="shared" si="36"/>
        <v>0</v>
      </c>
      <c r="Q287" s="38">
        <f>(M287*References!$C$57+Opportunities!N287*References!$C$56)/100</f>
        <v>0</v>
      </c>
      <c r="R287" s="35">
        <f t="shared" si="37"/>
        <v>0</v>
      </c>
      <c r="S287" s="36">
        <f>O287/'Graphs&amp;Analysis'!$D$24</f>
        <v>0</v>
      </c>
      <c r="T287" s="153"/>
      <c r="U287" s="153"/>
      <c r="W287" s="13" t="str">
        <f t="shared" si="38"/>
        <v/>
      </c>
    </row>
    <row r="288" spans="1:23" ht="25.5">
      <c r="A288" s="13" t="str">
        <f>IF(T288="YES",MAX($A$12:A287)+1,"")</f>
        <v/>
      </c>
      <c r="B288" s="20"/>
      <c r="C288" s="5" t="str">
        <f t="shared" si="39"/>
        <v>Buildings Category 7</v>
      </c>
      <c r="D288" s="5" t="s">
        <v>47</v>
      </c>
      <c r="E288" s="5" t="s">
        <v>48</v>
      </c>
      <c r="F288" s="152"/>
      <c r="G288" s="234"/>
      <c r="H288" s="233">
        <v>2.9411764705882346E-2</v>
      </c>
      <c r="I288" s="231"/>
      <c r="J288" s="232">
        <v>0.5</v>
      </c>
      <c r="K288" s="235">
        <v>606</v>
      </c>
      <c r="L288" s="77"/>
      <c r="M288" s="37">
        <f>F288*G288*H288*I288*Baseline!$F$29</f>
        <v>0</v>
      </c>
      <c r="N288" s="37">
        <f>F288*G288*H288*J288*Baseline!$G$29</f>
        <v>0</v>
      </c>
      <c r="O288" s="60">
        <f>(M288*References!$C$27+N288*References!$C$26)/1000</f>
        <v>0</v>
      </c>
      <c r="P288" s="38">
        <f t="shared" si="36"/>
        <v>0</v>
      </c>
      <c r="Q288" s="38">
        <f>(M288*References!$C$57+Opportunities!N288*References!$C$56)/100</f>
        <v>0</v>
      </c>
      <c r="R288" s="35">
        <f t="shared" si="37"/>
        <v>0</v>
      </c>
      <c r="S288" s="36">
        <f>O288/'Graphs&amp;Analysis'!$D$24</f>
        <v>0</v>
      </c>
      <c r="T288" s="153"/>
      <c r="U288" s="153"/>
      <c r="W288" s="13" t="str">
        <f t="shared" si="38"/>
        <v/>
      </c>
    </row>
    <row r="289" spans="1:23" ht="25.5">
      <c r="A289" s="13" t="str">
        <f>IF(T289="YES",MAX($A$12:A288)+1,"")</f>
        <v/>
      </c>
      <c r="B289" s="20"/>
      <c r="C289" s="5" t="str">
        <f t="shared" si="39"/>
        <v>Buildings Category 7</v>
      </c>
      <c r="D289" s="5" t="s">
        <v>36</v>
      </c>
      <c r="E289" s="5" t="s">
        <v>37</v>
      </c>
      <c r="F289" s="152"/>
      <c r="G289" s="234"/>
      <c r="H289" s="233">
        <v>0.5</v>
      </c>
      <c r="I289" s="232"/>
      <c r="J289" s="232">
        <v>0.35</v>
      </c>
      <c r="K289" s="235">
        <v>1200</v>
      </c>
      <c r="L289" s="77"/>
      <c r="M289" s="37">
        <f>F289*G289*H289*I289*Baseline!$F$29</f>
        <v>0</v>
      </c>
      <c r="N289" s="37">
        <f>F289*G289*H289*J289*Baseline!$G$29</f>
        <v>0</v>
      </c>
      <c r="O289" s="60">
        <f>(M289*References!$C$27+N289*References!$C$26)/1000</f>
        <v>0</v>
      </c>
      <c r="P289" s="38">
        <f t="shared" si="36"/>
        <v>0</v>
      </c>
      <c r="Q289" s="38">
        <f>(M289*References!$C$57+Opportunities!N289*References!$C$56)/100</f>
        <v>0</v>
      </c>
      <c r="R289" s="35">
        <f t="shared" si="37"/>
        <v>0</v>
      </c>
      <c r="S289" s="36">
        <f>O289/'Graphs&amp;Analysis'!$D$24</f>
        <v>0</v>
      </c>
      <c r="T289" s="153"/>
      <c r="U289" s="153"/>
      <c r="W289" s="13" t="str">
        <f t="shared" si="38"/>
        <v/>
      </c>
    </row>
    <row r="290" spans="1:23">
      <c r="A290" s="13" t="str">
        <f>IF(T290="YES",MAX($A$12:A289)+1,"")</f>
        <v/>
      </c>
      <c r="B290" s="20"/>
      <c r="C290" s="5" t="str">
        <f t="shared" si="39"/>
        <v>Buildings Category 7</v>
      </c>
      <c r="D290" s="5" t="s">
        <v>36</v>
      </c>
      <c r="E290" s="5" t="s">
        <v>38</v>
      </c>
      <c r="F290" s="152"/>
      <c r="G290" s="234"/>
      <c r="H290" s="233">
        <v>0.5</v>
      </c>
      <c r="I290" s="232"/>
      <c r="J290" s="232">
        <v>0.5</v>
      </c>
      <c r="K290" s="235">
        <v>500</v>
      </c>
      <c r="L290" s="77"/>
      <c r="M290" s="37">
        <f>F290*G290*H290*I290*Baseline!$F$29</f>
        <v>0</v>
      </c>
      <c r="N290" s="37">
        <f>F290*G290*H290*J290*Baseline!$G$29</f>
        <v>0</v>
      </c>
      <c r="O290" s="60">
        <f>(M290*References!$C$27+N290*References!$C$26)/1000</f>
        <v>0</v>
      </c>
      <c r="P290" s="38">
        <f t="shared" si="36"/>
        <v>0</v>
      </c>
      <c r="Q290" s="38">
        <f>(M290*References!$C$57+Opportunities!N290*References!$C$56)/100</f>
        <v>0</v>
      </c>
      <c r="R290" s="35">
        <f t="shared" si="37"/>
        <v>0</v>
      </c>
      <c r="S290" s="36">
        <f>O290/'Graphs&amp;Analysis'!$D$24</f>
        <v>0</v>
      </c>
      <c r="T290" s="153"/>
      <c r="U290" s="153"/>
      <c r="W290" s="13" t="str">
        <f t="shared" si="38"/>
        <v/>
      </c>
    </row>
    <row r="291" spans="1:23" ht="12.75" customHeight="1">
      <c r="A291" s="13" t="str">
        <f>IF(T291="YES",MAX($A$12:A290)+1,"")</f>
        <v/>
      </c>
      <c r="B291" s="20"/>
      <c r="C291" s="5" t="str">
        <f t="shared" si="39"/>
        <v>Buildings Category 7</v>
      </c>
      <c r="D291" s="5" t="s">
        <v>39</v>
      </c>
      <c r="E291" s="5" t="s">
        <v>40</v>
      </c>
      <c r="F291" s="152"/>
      <c r="G291" s="234"/>
      <c r="H291" s="233">
        <v>0.5</v>
      </c>
      <c r="I291" s="232"/>
      <c r="J291" s="232">
        <v>0.08</v>
      </c>
      <c r="K291" s="235">
        <v>633</v>
      </c>
      <c r="L291" s="78"/>
      <c r="M291" s="37">
        <f>F291*G291*H291*I291*Baseline!$F$29</f>
        <v>0</v>
      </c>
      <c r="N291" s="37">
        <f>F291*G291*H291*J291*Baseline!$G$29</f>
        <v>0</v>
      </c>
      <c r="O291" s="60">
        <f>(M291*References!$C$27+N291*References!$C$26)/1000</f>
        <v>0</v>
      </c>
      <c r="P291" s="38">
        <f t="shared" si="36"/>
        <v>0</v>
      </c>
      <c r="Q291" s="38">
        <f>(M291*References!$C$57+Opportunities!N291*References!$C$56)/100</f>
        <v>0</v>
      </c>
      <c r="R291" s="35">
        <f t="shared" si="37"/>
        <v>0</v>
      </c>
      <c r="S291" s="36">
        <f>O291/'Graphs&amp;Analysis'!$D$24</f>
        <v>0</v>
      </c>
      <c r="T291" s="153"/>
      <c r="U291" s="153"/>
      <c r="W291" s="13" t="str">
        <f t="shared" si="38"/>
        <v/>
      </c>
    </row>
    <row r="292" spans="1:23" ht="25.5" customHeight="1">
      <c r="A292" s="13" t="str">
        <f>IF(T292="YES",MAX($A$12:A291)+1,"")</f>
        <v/>
      </c>
      <c r="B292" s="20"/>
      <c r="C292" s="5" t="str">
        <f t="shared" si="39"/>
        <v>Buildings Category 7</v>
      </c>
      <c r="D292" s="5" t="s">
        <v>43</v>
      </c>
      <c r="E292" s="5" t="s">
        <v>46</v>
      </c>
      <c r="F292" s="152"/>
      <c r="G292" s="234"/>
      <c r="H292" s="233">
        <v>1</v>
      </c>
      <c r="I292" s="232">
        <v>7.0000000000000007E-2</v>
      </c>
      <c r="J292" s="232">
        <v>7.0000000000000007E-2</v>
      </c>
      <c r="K292" s="235">
        <v>500</v>
      </c>
      <c r="L292" s="78"/>
      <c r="M292" s="37">
        <f>F292*G292*H292*I292*Baseline!$F$29</f>
        <v>0</v>
      </c>
      <c r="N292" s="37">
        <f>F292*G292*H292*J292*Baseline!$G$29</f>
        <v>0</v>
      </c>
      <c r="O292" s="60">
        <f>(M292*References!$C$27+N292*References!$C$26)/1000</f>
        <v>0</v>
      </c>
      <c r="P292" s="38">
        <f t="shared" si="36"/>
        <v>0</v>
      </c>
      <c r="Q292" s="38">
        <f>(M292*References!$C$57+Opportunities!N292*References!$C$56)/100</f>
        <v>0</v>
      </c>
      <c r="R292" s="35">
        <f t="shared" si="37"/>
        <v>0</v>
      </c>
      <c r="S292" s="36">
        <f>O292/'Graphs&amp;Analysis'!$D$24</f>
        <v>0</v>
      </c>
      <c r="T292" s="153"/>
      <c r="U292" s="153"/>
      <c r="W292" s="13" t="str">
        <f t="shared" si="38"/>
        <v/>
      </c>
    </row>
    <row r="293" spans="1:23" ht="25.5">
      <c r="A293" s="13" t="str">
        <f>IF(T293="YES",MAX($A$12:A292)+1,"")</f>
        <v/>
      </c>
      <c r="B293" s="20"/>
      <c r="C293" s="5" t="str">
        <f t="shared" si="39"/>
        <v>Buildings Category 7</v>
      </c>
      <c r="D293" s="5" t="s">
        <v>43</v>
      </c>
      <c r="E293" s="5" t="s">
        <v>44</v>
      </c>
      <c r="F293" s="152"/>
      <c r="G293" s="234"/>
      <c r="H293" s="233">
        <v>5.8823529411764691E-2</v>
      </c>
      <c r="I293" s="231"/>
      <c r="J293" s="232">
        <v>0.4</v>
      </c>
      <c r="K293" s="235">
        <v>307</v>
      </c>
      <c r="L293" s="77"/>
      <c r="M293" s="37">
        <f>F293*G293*H293*I293*Baseline!$F$29</f>
        <v>0</v>
      </c>
      <c r="N293" s="37">
        <f>F293*G293*H293*J293*Baseline!$G$29</f>
        <v>0</v>
      </c>
      <c r="O293" s="60">
        <f>(M293*References!$C$27+N293*References!$C$26)/1000</f>
        <v>0</v>
      </c>
      <c r="P293" s="38">
        <f t="shared" si="36"/>
        <v>0</v>
      </c>
      <c r="Q293" s="38">
        <f>(M293*References!$C$57+Opportunities!N293*References!$C$56)/100</f>
        <v>0</v>
      </c>
      <c r="R293" s="35">
        <f t="shared" si="37"/>
        <v>0</v>
      </c>
      <c r="S293" s="36">
        <f>O293/'Graphs&amp;Analysis'!$D$24</f>
        <v>0</v>
      </c>
      <c r="T293" s="153"/>
      <c r="U293" s="153"/>
      <c r="W293" s="13" t="str">
        <f t="shared" si="38"/>
        <v/>
      </c>
    </row>
    <row r="294" spans="1:23">
      <c r="A294" s="13" t="str">
        <f>IF(T294="YES",MAX($A$12:A293)+1,"")</f>
        <v/>
      </c>
      <c r="B294" s="20"/>
      <c r="C294" s="5" t="str">
        <f t="shared" si="39"/>
        <v>Buildings Category 7</v>
      </c>
      <c r="D294" s="5" t="s">
        <v>43</v>
      </c>
      <c r="E294" s="5" t="s">
        <v>55</v>
      </c>
      <c r="F294" s="152"/>
      <c r="G294" s="234"/>
      <c r="H294" s="232">
        <v>0.5</v>
      </c>
      <c r="I294" s="232">
        <v>0.05</v>
      </c>
      <c r="J294" s="232"/>
      <c r="K294" s="235">
        <v>500</v>
      </c>
      <c r="L294" s="77"/>
      <c r="M294" s="37">
        <f>F294*G294*H294*I294*Baseline!$F$29</f>
        <v>0</v>
      </c>
      <c r="N294" s="37">
        <f>F294*G294*H294*J294*Baseline!$G$29</f>
        <v>0</v>
      </c>
      <c r="O294" s="60">
        <f>(M294*References!$C$27+N294*References!$C$26)/1000</f>
        <v>0</v>
      </c>
      <c r="P294" s="38">
        <f t="shared" si="36"/>
        <v>0</v>
      </c>
      <c r="Q294" s="38">
        <f>(M294*References!$C$57+Opportunities!N294*References!$C$56)/100</f>
        <v>0</v>
      </c>
      <c r="R294" s="35">
        <f t="shared" si="37"/>
        <v>0</v>
      </c>
      <c r="S294" s="36">
        <f>O294/'Graphs&amp;Analysis'!$D$24</f>
        <v>0</v>
      </c>
      <c r="T294" s="153"/>
      <c r="U294" s="153"/>
      <c r="W294" s="13" t="str">
        <f t="shared" si="38"/>
        <v/>
      </c>
    </row>
    <row r="295" spans="1:23" ht="25.5">
      <c r="A295" s="13" t="str">
        <f>IF(T295="YES",MAX($A$12:A294)+1,"")</f>
        <v/>
      </c>
      <c r="B295" s="20"/>
      <c r="C295" s="5" t="str">
        <f t="shared" si="39"/>
        <v>Buildings Category 7</v>
      </c>
      <c r="D295" s="5" t="s">
        <v>43</v>
      </c>
      <c r="E295" s="5" t="s">
        <v>56</v>
      </c>
      <c r="F295" s="152"/>
      <c r="G295" s="234"/>
      <c r="H295" s="232">
        <v>1</v>
      </c>
      <c r="I295" s="232">
        <v>0.1</v>
      </c>
      <c r="J295" s="232">
        <v>0.15</v>
      </c>
      <c r="K295" s="235">
        <v>500</v>
      </c>
      <c r="L295" s="78"/>
      <c r="M295" s="37">
        <f>F295*G295*H295*I295*Baseline!$F$29</f>
        <v>0</v>
      </c>
      <c r="N295" s="37">
        <f>F295*G295*H295*J295*Baseline!$G$29</f>
        <v>0</v>
      </c>
      <c r="O295" s="60">
        <f>(M295*References!$C$27+N295*References!$C$26)/1000</f>
        <v>0</v>
      </c>
      <c r="P295" s="38">
        <f t="shared" si="36"/>
        <v>0</v>
      </c>
      <c r="Q295" s="38">
        <f>(M295*References!$C$57+Opportunities!N295*References!$C$56)/100</f>
        <v>0</v>
      </c>
      <c r="R295" s="35">
        <f t="shared" si="37"/>
        <v>0</v>
      </c>
      <c r="S295" s="36">
        <f>O295/'Graphs&amp;Analysis'!$D$24</f>
        <v>0</v>
      </c>
      <c r="T295" s="153"/>
      <c r="U295" s="153"/>
      <c r="W295" s="13" t="str">
        <f t="shared" si="38"/>
        <v/>
      </c>
    </row>
    <row r="296" spans="1:23">
      <c r="A296" s="13" t="str">
        <f>IF(T296="YES",MAX($A$12:A295)+1,"")</f>
        <v/>
      </c>
      <c r="B296" s="20"/>
      <c r="C296" s="5" t="str">
        <f t="shared" si="39"/>
        <v>Buildings Category 7</v>
      </c>
      <c r="D296" s="5" t="s">
        <v>43</v>
      </c>
      <c r="E296" s="5" t="s">
        <v>53</v>
      </c>
      <c r="F296" s="152"/>
      <c r="G296" s="234"/>
      <c r="H296" s="232">
        <v>1</v>
      </c>
      <c r="I296" s="232"/>
      <c r="J296" s="232">
        <v>0.4</v>
      </c>
      <c r="K296" s="235">
        <v>500</v>
      </c>
      <c r="L296" s="78"/>
      <c r="M296" s="37">
        <f>F296*G296*H296*I296*Baseline!$F$29</f>
        <v>0</v>
      </c>
      <c r="N296" s="37">
        <f>F296*G296*H296*J296*Baseline!$G$29</f>
        <v>0</v>
      </c>
      <c r="O296" s="60">
        <f>(M296*References!$C$27+N296*References!$C$26)/1000</f>
        <v>0</v>
      </c>
      <c r="P296" s="38">
        <f t="shared" si="36"/>
        <v>0</v>
      </c>
      <c r="Q296" s="38">
        <f>(M296*References!$C$57+Opportunities!N296*References!$C$56)/100</f>
        <v>0</v>
      </c>
      <c r="R296" s="35">
        <f t="shared" si="37"/>
        <v>0</v>
      </c>
      <c r="S296" s="36">
        <f>O296/'Graphs&amp;Analysis'!$D$24</f>
        <v>0</v>
      </c>
      <c r="T296" s="153"/>
      <c r="U296" s="153"/>
      <c r="W296" s="13" t="str">
        <f t="shared" si="38"/>
        <v/>
      </c>
    </row>
    <row r="297" spans="1:23" ht="25.5">
      <c r="A297" s="13" t="str">
        <f>IF(T297="YES",MAX($A$12:A296)+1,"")</f>
        <v/>
      </c>
      <c r="B297" s="20"/>
      <c r="C297" s="5" t="str">
        <f t="shared" si="39"/>
        <v>Buildings Category 7</v>
      </c>
      <c r="D297" s="5" t="s">
        <v>43</v>
      </c>
      <c r="E297" s="5" t="s">
        <v>54</v>
      </c>
      <c r="F297" s="152"/>
      <c r="G297" s="234"/>
      <c r="H297" s="232">
        <v>0.5</v>
      </c>
      <c r="I297" s="232">
        <v>0.2</v>
      </c>
      <c r="J297" s="232"/>
      <c r="K297" s="235">
        <v>500</v>
      </c>
      <c r="L297" s="78"/>
      <c r="M297" s="37">
        <f>F297*G297*H297*I297*Baseline!$F$29</f>
        <v>0</v>
      </c>
      <c r="N297" s="37">
        <f>F297*G297*H297*J297*Baseline!$G$29</f>
        <v>0</v>
      </c>
      <c r="O297" s="60">
        <f>(M297*References!$C$27+N297*References!$C$26)/1000</f>
        <v>0</v>
      </c>
      <c r="P297" s="38">
        <f t="shared" ref="P297:P302" si="40">O297*K297</f>
        <v>0</v>
      </c>
      <c r="Q297" s="38">
        <f>(M297*References!$C$57+Opportunities!N297*References!$C$56)/100</f>
        <v>0</v>
      </c>
      <c r="R297" s="35">
        <f t="shared" ref="R297:R302" si="41">IF(ISERROR(P297/Q297),0,P297/Q297)</f>
        <v>0</v>
      </c>
      <c r="S297" s="36">
        <f>O297/'Graphs&amp;Analysis'!$D$24</f>
        <v>0</v>
      </c>
      <c r="T297" s="153"/>
      <c r="U297" s="153"/>
      <c r="W297" s="13" t="str">
        <f t="shared" si="38"/>
        <v/>
      </c>
    </row>
    <row r="298" spans="1:23">
      <c r="A298" s="13" t="str">
        <f>IF(T298="YES",MAX($A$12:A297)+1,"")</f>
        <v/>
      </c>
      <c r="B298" s="20"/>
      <c r="C298" s="5" t="str">
        <f t="shared" si="39"/>
        <v>Buildings Category 7</v>
      </c>
      <c r="D298" s="5" t="s">
        <v>43</v>
      </c>
      <c r="E298" s="5" t="s">
        <v>45</v>
      </c>
      <c r="F298" s="152"/>
      <c r="G298" s="234"/>
      <c r="H298" s="232">
        <v>1</v>
      </c>
      <c r="I298" s="232"/>
      <c r="J298" s="232">
        <v>0.1</v>
      </c>
      <c r="K298" s="235">
        <v>503</v>
      </c>
      <c r="L298" s="78"/>
      <c r="M298" s="37">
        <f>F298*G298*H298*I298*Baseline!$F$29</f>
        <v>0</v>
      </c>
      <c r="N298" s="37">
        <f>F298*G298*H298*J298*Baseline!$G$29</f>
        <v>0</v>
      </c>
      <c r="O298" s="60">
        <f>(M298*References!$C$27+N298*References!$C$26)/1000</f>
        <v>0</v>
      </c>
      <c r="P298" s="38">
        <f t="shared" si="40"/>
        <v>0</v>
      </c>
      <c r="Q298" s="38">
        <f>(M298*References!$C$57+Opportunities!N298*References!$C$56)/100</f>
        <v>0</v>
      </c>
      <c r="R298" s="35">
        <f t="shared" si="41"/>
        <v>0</v>
      </c>
      <c r="S298" s="36">
        <f>O298/'Graphs&amp;Analysis'!$D$24</f>
        <v>0</v>
      </c>
      <c r="T298" s="153"/>
      <c r="U298" s="153"/>
      <c r="W298" s="13" t="str">
        <f t="shared" si="38"/>
        <v/>
      </c>
    </row>
    <row r="299" spans="1:23" ht="25.5">
      <c r="A299" s="13" t="str">
        <f>IF(T299="YES",MAX($A$12:A298)+1,"")</f>
        <v/>
      </c>
      <c r="B299" s="20"/>
      <c r="C299" s="5" t="str">
        <f t="shared" si="39"/>
        <v>Buildings Category 7</v>
      </c>
      <c r="D299" s="5" t="s">
        <v>41</v>
      </c>
      <c r="E299" s="5" t="s">
        <v>42</v>
      </c>
      <c r="F299" s="152"/>
      <c r="G299" s="234"/>
      <c r="H299" s="232">
        <v>0.15</v>
      </c>
      <c r="I299" s="232"/>
      <c r="J299" s="232">
        <v>0.35</v>
      </c>
      <c r="K299" s="235">
        <v>458</v>
      </c>
      <c r="L299" s="78"/>
      <c r="M299" s="37">
        <f>F299*G299*H299*I299*Baseline!$F$29</f>
        <v>0</v>
      </c>
      <c r="N299" s="37">
        <f>F299*G299*H299*J299*Baseline!$G$29</f>
        <v>0</v>
      </c>
      <c r="O299" s="60">
        <f>(M299*References!$C$27+N299*References!$C$26)/1000</f>
        <v>0</v>
      </c>
      <c r="P299" s="38">
        <f t="shared" si="40"/>
        <v>0</v>
      </c>
      <c r="Q299" s="38">
        <f>(M299*References!$C$57+Opportunities!N299*References!$C$56)/100</f>
        <v>0</v>
      </c>
      <c r="R299" s="35">
        <f t="shared" si="41"/>
        <v>0</v>
      </c>
      <c r="S299" s="36">
        <f>O299/'Graphs&amp;Analysis'!$D$24</f>
        <v>0</v>
      </c>
      <c r="T299" s="153"/>
      <c r="U299" s="153"/>
      <c r="W299" s="13" t="str">
        <f t="shared" si="38"/>
        <v/>
      </c>
    </row>
    <row r="300" spans="1:23" ht="38.25">
      <c r="A300" s="13" t="str">
        <f>IF(T300="YES",MAX($A$12:A299)+1,"")</f>
        <v/>
      </c>
      <c r="B300" s="20"/>
      <c r="C300" s="5" t="str">
        <f t="shared" si="39"/>
        <v>Buildings Category 7</v>
      </c>
      <c r="D300" s="5" t="s">
        <v>220</v>
      </c>
      <c r="E300" s="222" t="s">
        <v>221</v>
      </c>
      <c r="F300" s="152"/>
      <c r="G300" s="234"/>
      <c r="H300" s="233">
        <v>1</v>
      </c>
      <c r="I300" s="233">
        <v>0.01</v>
      </c>
      <c r="J300" s="231"/>
      <c r="K300" s="235">
        <v>121</v>
      </c>
      <c r="L300" s="78"/>
      <c r="M300" s="37">
        <f>F300*G300*H300*I300*Baseline!$F$29</f>
        <v>0</v>
      </c>
      <c r="N300" s="37">
        <f>F300*G300*H300*J300*Baseline!$G$29</f>
        <v>0</v>
      </c>
      <c r="O300" s="60">
        <f>(M300*References!$C$27+N300*References!$C$26)/1000</f>
        <v>0</v>
      </c>
      <c r="P300" s="38">
        <f t="shared" si="40"/>
        <v>0</v>
      </c>
      <c r="Q300" s="38">
        <f>(M300*References!$C$57+Opportunities!N300*References!$C$56)/100</f>
        <v>0</v>
      </c>
      <c r="R300" s="35">
        <f t="shared" si="41"/>
        <v>0</v>
      </c>
      <c r="S300" s="36">
        <f>O300/'Graphs&amp;Analysis'!$D$24</f>
        <v>0</v>
      </c>
      <c r="T300" s="153"/>
      <c r="U300" s="153"/>
      <c r="W300" s="13" t="str">
        <f t="shared" si="38"/>
        <v/>
      </c>
    </row>
    <row r="301" spans="1:23" ht="30">
      <c r="A301" s="13" t="str">
        <f>IF(T301="YES",MAX($A$12:A300)+1,"")</f>
        <v/>
      </c>
      <c r="B301" s="20"/>
      <c r="C301" s="5" t="str">
        <f t="shared" si="39"/>
        <v>Buildings Category 7</v>
      </c>
      <c r="D301" s="5" t="s">
        <v>220</v>
      </c>
      <c r="E301" s="223" t="s">
        <v>222</v>
      </c>
      <c r="F301" s="152"/>
      <c r="G301" s="234"/>
      <c r="H301" s="233">
        <v>1</v>
      </c>
      <c r="I301" s="233">
        <v>7.0000000000000007E-2</v>
      </c>
      <c r="J301" s="231"/>
      <c r="K301" s="235">
        <v>500</v>
      </c>
      <c r="L301" s="78"/>
      <c r="M301" s="37">
        <f>F301*G301*H301*I301*Baseline!$F$29</f>
        <v>0</v>
      </c>
      <c r="N301" s="37">
        <f>F301*G301*H301*J301*Baseline!$G$29</f>
        <v>0</v>
      </c>
      <c r="O301" s="60">
        <f>(M301*References!$C$27+N301*References!$C$26)/1000</f>
        <v>0</v>
      </c>
      <c r="P301" s="38">
        <f t="shared" si="40"/>
        <v>0</v>
      </c>
      <c r="Q301" s="38">
        <f>(M301*References!$C$57+Opportunities!N301*References!$C$56)/100</f>
        <v>0</v>
      </c>
      <c r="R301" s="35">
        <f t="shared" si="41"/>
        <v>0</v>
      </c>
      <c r="S301" s="36">
        <f>O301/'Graphs&amp;Analysis'!$D$24</f>
        <v>0</v>
      </c>
      <c r="T301" s="153"/>
      <c r="U301" s="153"/>
      <c r="W301" s="13" t="str">
        <f t="shared" si="38"/>
        <v/>
      </c>
    </row>
    <row r="302" spans="1:23" ht="25.5">
      <c r="A302" s="13" t="str">
        <f>IF(T302="YES",MAX($A$12:A301)+1,"")</f>
        <v/>
      </c>
      <c r="B302" s="20"/>
      <c r="C302" s="5" t="str">
        <f t="shared" si="39"/>
        <v>Buildings Category 7</v>
      </c>
      <c r="D302" s="5" t="s">
        <v>220</v>
      </c>
      <c r="E302" s="224" t="s">
        <v>223</v>
      </c>
      <c r="F302" s="152"/>
      <c r="G302" s="234"/>
      <c r="H302" s="233">
        <v>1</v>
      </c>
      <c r="I302" s="233">
        <v>0.02</v>
      </c>
      <c r="J302" s="231"/>
      <c r="K302" s="235">
        <v>153</v>
      </c>
      <c r="L302" s="78"/>
      <c r="M302" s="37">
        <f>F302*G302*H302*I302*Baseline!$F$29</f>
        <v>0</v>
      </c>
      <c r="N302" s="37">
        <f>F302*G302*H302*J302*Baseline!$G$29</f>
        <v>0</v>
      </c>
      <c r="O302" s="60">
        <f>(M302*References!$C$27+N302*References!$C$26)/1000</f>
        <v>0</v>
      </c>
      <c r="P302" s="38">
        <f t="shared" si="40"/>
        <v>0</v>
      </c>
      <c r="Q302" s="38">
        <f>(M302*References!$C$57+Opportunities!N302*References!$C$56)/100</f>
        <v>0</v>
      </c>
      <c r="R302" s="35">
        <f t="shared" si="41"/>
        <v>0</v>
      </c>
      <c r="S302" s="36">
        <f>O302/'Graphs&amp;Analysis'!$D$24</f>
        <v>0</v>
      </c>
      <c r="T302" s="153"/>
      <c r="U302" s="153"/>
      <c r="W302" s="13" t="str">
        <f t="shared" si="38"/>
        <v/>
      </c>
    </row>
    <row r="303" spans="1:23">
      <c r="A303" s="13" t="str">
        <f>IF(T303="YES",MAX($A$12:A302)+1,"")</f>
        <v/>
      </c>
      <c r="B303" s="20"/>
      <c r="C303" s="5" t="str">
        <f>C296</f>
        <v>Buildings Category 7</v>
      </c>
      <c r="D303" s="5" t="s">
        <v>52</v>
      </c>
      <c r="E303" s="5"/>
      <c r="F303" s="152"/>
      <c r="G303" s="234"/>
      <c r="H303" s="8"/>
      <c r="I303" s="8"/>
      <c r="J303" s="8"/>
      <c r="K303" s="29">
        <v>500</v>
      </c>
      <c r="L303" s="78"/>
      <c r="M303" s="37">
        <f>F303*G303*H303*I303*Baseline!$F$29</f>
        <v>0</v>
      </c>
      <c r="N303" s="37">
        <f>F303*G303*H303*J303*Baseline!$G$29</f>
        <v>0</v>
      </c>
      <c r="O303" s="60">
        <f>(M303*References!$C$27+N303*References!$C$26)/1000</f>
        <v>0</v>
      </c>
      <c r="P303" s="38">
        <f t="shared" si="36"/>
        <v>0</v>
      </c>
      <c r="Q303" s="38">
        <f>(M303*References!$C$57+Opportunities!N303*References!$C$56)/100</f>
        <v>0</v>
      </c>
      <c r="R303" s="35">
        <f t="shared" si="37"/>
        <v>0</v>
      </c>
      <c r="S303" s="36">
        <f>O303/'Graphs&amp;Analysis'!$D$24</f>
        <v>0</v>
      </c>
      <c r="T303" s="153"/>
      <c r="U303" s="153"/>
      <c r="W303" s="13" t="str">
        <f t="shared" si="38"/>
        <v/>
      </c>
    </row>
    <row r="304" spans="1:23">
      <c r="A304" s="13" t="str">
        <f>IF(T304="YES",MAX($A$12:A303)+1,"")</f>
        <v/>
      </c>
      <c r="B304" s="20"/>
      <c r="C304" s="5" t="str">
        <f t="shared" si="39"/>
        <v>Buildings Category 7</v>
      </c>
      <c r="D304" s="5" t="s">
        <v>52</v>
      </c>
      <c r="E304" s="5"/>
      <c r="F304" s="152"/>
      <c r="G304" s="234"/>
      <c r="H304" s="8"/>
      <c r="I304" s="8"/>
      <c r="J304" s="8"/>
      <c r="K304" s="29">
        <v>500</v>
      </c>
      <c r="L304" s="78"/>
      <c r="M304" s="37">
        <f>F304*G304*H304*I304*Baseline!$F$29</f>
        <v>0</v>
      </c>
      <c r="N304" s="37">
        <f>F304*G304*H304*J304*Baseline!$G$29</f>
        <v>0</v>
      </c>
      <c r="O304" s="60">
        <f>(M304*References!$C$27+N304*References!$C$26)/1000</f>
        <v>0</v>
      </c>
      <c r="P304" s="38">
        <f t="shared" si="36"/>
        <v>0</v>
      </c>
      <c r="Q304" s="38">
        <f>(M304*References!$C$57+Opportunities!N304*References!$C$56)/100</f>
        <v>0</v>
      </c>
      <c r="R304" s="35">
        <f t="shared" si="37"/>
        <v>0</v>
      </c>
      <c r="S304" s="36">
        <f>O304/'Graphs&amp;Analysis'!$D$24</f>
        <v>0</v>
      </c>
      <c r="T304" s="153"/>
      <c r="U304" s="153"/>
      <c r="W304" s="13" t="str">
        <f t="shared" si="38"/>
        <v/>
      </c>
    </row>
    <row r="305" spans="1:24">
      <c r="A305" s="13" t="str">
        <f>IF(T305="YES",MAX($A$12:A304)+1,"")</f>
        <v/>
      </c>
      <c r="B305" s="20"/>
      <c r="C305" s="5" t="str">
        <f t="shared" si="39"/>
        <v>Buildings Category 7</v>
      </c>
      <c r="D305" s="5" t="s">
        <v>52</v>
      </c>
      <c r="E305" s="5"/>
      <c r="F305" s="152"/>
      <c r="G305" s="234"/>
      <c r="H305" s="8"/>
      <c r="I305" s="8"/>
      <c r="J305" s="8"/>
      <c r="K305" s="29">
        <v>500</v>
      </c>
      <c r="L305" s="78"/>
      <c r="M305" s="37">
        <f>F305*G305*H305*I305*Baseline!$F$29</f>
        <v>0</v>
      </c>
      <c r="N305" s="37">
        <f>F305*G305*H305*J305*Baseline!$G$29</f>
        <v>0</v>
      </c>
      <c r="O305" s="60">
        <f>(M305*References!$C$27+N305*References!$C$26)/1000</f>
        <v>0</v>
      </c>
      <c r="P305" s="38">
        <f t="shared" si="36"/>
        <v>0</v>
      </c>
      <c r="Q305" s="38">
        <f>(M305*References!$C$57+Opportunities!N305*References!$C$56)/100</f>
        <v>0</v>
      </c>
      <c r="R305" s="35">
        <f t="shared" si="37"/>
        <v>0</v>
      </c>
      <c r="S305" s="36">
        <f>O305/'Graphs&amp;Analysis'!$D$24</f>
        <v>0</v>
      </c>
      <c r="T305" s="153"/>
      <c r="U305" s="153"/>
      <c r="W305" s="13" t="str">
        <f t="shared" si="38"/>
        <v/>
      </c>
    </row>
    <row r="306" spans="1:24">
      <c r="A306" s="13" t="str">
        <f>IF(T306="YES",MAX($A$12:A305)+1,"")</f>
        <v/>
      </c>
      <c r="C306" s="23"/>
      <c r="D306" s="23"/>
      <c r="E306" s="79"/>
      <c r="F306" s="23"/>
      <c r="G306" s="79"/>
      <c r="H306" s="79"/>
      <c r="I306" s="74"/>
      <c r="J306" s="23"/>
      <c r="K306" s="23"/>
      <c r="M306" s="23"/>
      <c r="N306" s="23"/>
      <c r="O306" s="23"/>
      <c r="P306" s="23"/>
      <c r="Q306" s="23"/>
      <c r="R306" s="23"/>
      <c r="S306" s="23"/>
      <c r="T306" s="23"/>
      <c r="U306" s="23"/>
    </row>
    <row r="307" spans="1:24">
      <c r="A307" s="13" t="str">
        <f>IF(T307="YES",MAX($A$12:A306)+1,"")</f>
        <v/>
      </c>
      <c r="B307" s="252" t="s">
        <v>128</v>
      </c>
      <c r="C307" s="252"/>
      <c r="G307" s="16"/>
      <c r="H307" s="16"/>
      <c r="I307" s="67"/>
      <c r="K307" s="68" t="s">
        <v>3</v>
      </c>
      <c r="L307" s="68"/>
      <c r="M307" s="69">
        <f>SUM(M270:M306)</f>
        <v>0</v>
      </c>
      <c r="N307" s="69">
        <f>SUM(N270:N306)</f>
        <v>0</v>
      </c>
      <c r="O307" s="69">
        <f>SUM(O270:O306)</f>
        <v>0</v>
      </c>
    </row>
    <row r="308" spans="1:24">
      <c r="A308" s="13" t="str">
        <f>IF(T308="YES",MAX($A$12:A307)+1,"")</f>
        <v/>
      </c>
      <c r="G308" s="16"/>
      <c r="H308" s="16"/>
      <c r="I308" s="67"/>
      <c r="K308" s="68" t="str">
        <f>CONCATENATE("Savings as a % of  ",C274," emissions")</f>
        <v>Savings as a % of  Buildings Category 7 emissions</v>
      </c>
      <c r="L308" s="68"/>
      <c r="M308" s="186" t="e">
        <f>M307/Baseline!F29</f>
        <v>#DIV/0!</v>
      </c>
      <c r="N308" s="186" t="e">
        <f>N307/Baseline!G29</f>
        <v>#DIV/0!</v>
      </c>
      <c r="O308" s="186" t="e">
        <f>O307/Baseline!H29</f>
        <v>#DIV/0!</v>
      </c>
    </row>
    <row r="309" spans="1:24">
      <c r="A309" s="13" t="str">
        <f>IF(T309="YES",MAX($A$12:A308)+1,"")</f>
        <v/>
      </c>
    </row>
    <row r="311" spans="1:24">
      <c r="A311" s="13" t="str">
        <f>IF(T311="YES",MAX($A$12:A310)+1,"")</f>
        <v/>
      </c>
    </row>
    <row r="312" spans="1:24" ht="20.25">
      <c r="A312" s="13" t="str">
        <f>IF(T312="YES",MAX($A$12:A311)+1,"")</f>
        <v/>
      </c>
      <c r="B312" s="70" t="s">
        <v>57</v>
      </c>
      <c r="C312" s="70"/>
    </row>
    <row r="313" spans="1:24">
      <c r="A313" s="13" t="str">
        <f>IF(T313="YES",MAX($A$12:A312)+1,"")</f>
        <v/>
      </c>
    </row>
    <row r="314" spans="1:24" ht="18">
      <c r="A314" s="13" t="str">
        <f>IF(T314="YES",MAX($A$12:A313)+1,"")</f>
        <v/>
      </c>
      <c r="B314" s="64" t="s">
        <v>4</v>
      </c>
      <c r="C314" s="80"/>
      <c r="D314" s="22"/>
      <c r="E314" s="237"/>
      <c r="F314" s="22"/>
      <c r="G314" s="22"/>
      <c r="H314" s="22"/>
      <c r="I314" s="22"/>
      <c r="J314" s="22"/>
      <c r="K314" s="22"/>
      <c r="L314" s="22"/>
      <c r="M314" s="22"/>
      <c r="N314" s="22"/>
      <c r="O314" s="22"/>
      <c r="P314" s="22"/>
      <c r="Q314" s="22"/>
      <c r="R314" s="22"/>
      <c r="S314" s="22"/>
      <c r="T314" s="22"/>
      <c r="U314" s="22"/>
    </row>
    <row r="315" spans="1:24" ht="12.75" customHeight="1">
      <c r="A315" s="13" t="str">
        <f>IF(T315="YES",MAX($A$12:A314)+1,"")</f>
        <v/>
      </c>
      <c r="B315" s="187"/>
      <c r="C315" s="188" t="s">
        <v>196</v>
      </c>
      <c r="D315" s="176"/>
      <c r="E315" s="238"/>
      <c r="F315" s="176"/>
      <c r="G315" s="176"/>
      <c r="H315" s="176"/>
      <c r="I315" s="176"/>
      <c r="J315" s="176"/>
      <c r="K315" s="176"/>
      <c r="L315" s="176"/>
      <c r="M315" s="176"/>
      <c r="N315" s="176"/>
      <c r="O315" s="176"/>
      <c r="P315" s="176"/>
      <c r="Q315" s="176"/>
      <c r="R315" s="176"/>
      <c r="S315" s="176"/>
      <c r="T315" s="176"/>
      <c r="U315" s="176"/>
      <c r="V315" s="182"/>
      <c r="W315" s="182"/>
      <c r="X315" s="182"/>
    </row>
    <row r="316" spans="1:24" ht="30" customHeight="1">
      <c r="A316" s="13" t="str">
        <f>IF(T316="YES",MAX($A$12:A315)+1,"")</f>
        <v/>
      </c>
      <c r="B316" s="20"/>
      <c r="C316" s="248" t="s">
        <v>151</v>
      </c>
      <c r="D316" s="250"/>
      <c r="E316" s="248" t="s">
        <v>59</v>
      </c>
      <c r="F316" s="248" t="s">
        <v>7</v>
      </c>
      <c r="G316" s="248" t="s">
        <v>8</v>
      </c>
      <c r="H316" s="256" t="s">
        <v>58</v>
      </c>
      <c r="I316" s="257"/>
      <c r="J316" s="258"/>
      <c r="K316" s="250" t="s">
        <v>109</v>
      </c>
      <c r="L316" s="248" t="s">
        <v>213</v>
      </c>
      <c r="M316" s="248" t="s">
        <v>214</v>
      </c>
      <c r="N316" s="248" t="s">
        <v>215</v>
      </c>
      <c r="O316" s="249" t="s">
        <v>14</v>
      </c>
      <c r="P316" s="248" t="s">
        <v>108</v>
      </c>
      <c r="Q316" s="249" t="s">
        <v>111</v>
      </c>
      <c r="R316" s="248" t="s">
        <v>150</v>
      </c>
      <c r="S316" s="248" t="s">
        <v>77</v>
      </c>
      <c r="T316" s="248" t="s">
        <v>110</v>
      </c>
      <c r="U316" s="248" t="s">
        <v>160</v>
      </c>
    </row>
    <row r="317" spans="1:24" ht="18.75" customHeight="1">
      <c r="A317" s="13" t="str">
        <f>IF(T317="YES",MAX($A$12:A316)+1,"")</f>
        <v/>
      </c>
      <c r="B317" s="20"/>
      <c r="C317" s="248"/>
      <c r="D317" s="251"/>
      <c r="E317" s="248"/>
      <c r="F317" s="248"/>
      <c r="G317" s="248"/>
      <c r="H317" s="10" t="s">
        <v>118</v>
      </c>
      <c r="I317" s="10" t="s">
        <v>119</v>
      </c>
      <c r="J317" s="10" t="s">
        <v>204</v>
      </c>
      <c r="K317" s="251"/>
      <c r="L317" s="248"/>
      <c r="M317" s="248"/>
      <c r="N317" s="248"/>
      <c r="O317" s="249"/>
      <c r="P317" s="248"/>
      <c r="Q317" s="249"/>
      <c r="R317" s="248"/>
      <c r="S317" s="248"/>
      <c r="T317" s="248"/>
      <c r="U317" s="248"/>
    </row>
    <row r="318" spans="1:24">
      <c r="A318" s="13">
        <f>IF(T318="YES",MAX($A$12:A317)+1,"")</f>
        <v>22</v>
      </c>
      <c r="B318" s="20"/>
      <c r="C318" s="5" t="str">
        <f>Baseline!C55</f>
        <v>Transport Category 1</v>
      </c>
      <c r="D318" s="5"/>
      <c r="E318" s="5" t="s">
        <v>158</v>
      </c>
      <c r="F318" s="152">
        <v>0.5</v>
      </c>
      <c r="G318" s="152">
        <v>1</v>
      </c>
      <c r="H318" s="6">
        <v>0.1</v>
      </c>
      <c r="I318" s="6">
        <v>0.1</v>
      </c>
      <c r="J318" s="6">
        <v>0.1</v>
      </c>
      <c r="K318" s="29">
        <v>500</v>
      </c>
      <c r="L318" s="145">
        <f>$F318*$G318*$H318*Baseline!D$55/References!$C$28</f>
        <v>0</v>
      </c>
      <c r="M318" s="145">
        <f>$F318*$G318*$I318*Baseline!E$55/References!$C$29</f>
        <v>0</v>
      </c>
      <c r="N318" s="145">
        <f>$F318*$G318*$J318*Baseline!F$55/References!$C$30</f>
        <v>0</v>
      </c>
      <c r="O318" s="145">
        <f>((L318*References!$C$28)+(Opportunities!M318*References!$C$29)+(Opportunities!N318*References!$C$30))/1000</f>
        <v>0</v>
      </c>
      <c r="P318" s="38">
        <f>O318*K318</f>
        <v>0</v>
      </c>
      <c r="Q318" s="38">
        <f>((L318*References!$C$60)+(Opportunities!M318*References!$C$61)+(Opportunities!N318*References!$C$62))/100</f>
        <v>0</v>
      </c>
      <c r="R318" s="35">
        <f>IF(ISERROR(P318/Q318),0,P318/Q318)</f>
        <v>0</v>
      </c>
      <c r="S318" s="36">
        <f>O318/'Graphs&amp;Analysis'!$D$24</f>
        <v>0</v>
      </c>
      <c r="T318" s="153" t="s">
        <v>124</v>
      </c>
      <c r="U318" s="153">
        <v>3</v>
      </c>
      <c r="W318" s="13" t="str">
        <f>IF(O318&gt;0,IF(N318&gt;0,"Air", "Road"),"")</f>
        <v/>
      </c>
    </row>
    <row r="319" spans="1:24" ht="25.5">
      <c r="A319" s="13">
        <f>IF(T319="YES",MAX($A$12:A318)+1,"")</f>
        <v>23</v>
      </c>
      <c r="B319" s="20"/>
      <c r="C319" s="5" t="str">
        <f>C318</f>
        <v>Transport Category 1</v>
      </c>
      <c r="D319" s="5"/>
      <c r="E319" s="5" t="s">
        <v>60</v>
      </c>
      <c r="F319" s="152">
        <v>0.5</v>
      </c>
      <c r="G319" s="152">
        <v>1</v>
      </c>
      <c r="H319" s="6">
        <v>0.5</v>
      </c>
      <c r="I319" s="6">
        <v>0.5</v>
      </c>
      <c r="J319" s="6">
        <v>0.5</v>
      </c>
      <c r="K319" s="29">
        <v>500</v>
      </c>
      <c r="L319" s="145">
        <f>$F319*$G319*$H319*Baseline!D$55/References!$C$28</f>
        <v>0</v>
      </c>
      <c r="M319" s="145">
        <f>$F319*$G319*$I319*Baseline!E$55/References!$C$29</f>
        <v>0</v>
      </c>
      <c r="N319" s="145">
        <f>$F319*$G319*$J319*Baseline!F$55/References!$C$30</f>
        <v>0</v>
      </c>
      <c r="O319" s="145">
        <f>((L319*References!$C$28)+(Opportunities!M319*References!$C$29)+(Opportunities!N319*References!$C$30))/1000</f>
        <v>0</v>
      </c>
      <c r="P319" s="38">
        <f t="shared" ref="P319:P327" si="42">O319*K319</f>
        <v>0</v>
      </c>
      <c r="Q319" s="38">
        <f>((L319*References!$C$60)+(Opportunities!M319*References!$C$61)+(Opportunities!N319*References!$C$62))/100</f>
        <v>0</v>
      </c>
      <c r="R319" s="35">
        <f t="shared" ref="R319:R327" si="43">IF(ISERROR(P319/Q319),0,P319/Q319)</f>
        <v>0</v>
      </c>
      <c r="S319" s="36">
        <f>O319/'Graphs&amp;Analysis'!$D$24</f>
        <v>0</v>
      </c>
      <c r="T319" s="153" t="s">
        <v>124</v>
      </c>
      <c r="U319" s="153"/>
      <c r="W319" s="13" t="str">
        <f t="shared" ref="W319:W327" si="44">IF(O319&gt;0,IF(N319&gt;0,"Air", "Road"),"")</f>
        <v/>
      </c>
    </row>
    <row r="320" spans="1:24" ht="25.5">
      <c r="A320" s="13">
        <f>IF(T320="YES",MAX($A$12:A319)+1,"")</f>
        <v>24</v>
      </c>
      <c r="B320" s="20"/>
      <c r="C320" s="5" t="str">
        <f t="shared" ref="C320:C327" si="45">C319</f>
        <v>Transport Category 1</v>
      </c>
      <c r="D320" s="5"/>
      <c r="E320" s="5" t="s">
        <v>61</v>
      </c>
      <c r="F320" s="152">
        <v>0.5</v>
      </c>
      <c r="G320" s="152">
        <v>1</v>
      </c>
      <c r="H320" s="6"/>
      <c r="I320" s="6">
        <v>0.05</v>
      </c>
      <c r="J320" s="6"/>
      <c r="K320" s="29">
        <v>500</v>
      </c>
      <c r="L320" s="145">
        <f>$F320*$G320*$H320*Baseline!D$55/References!$C$28</f>
        <v>0</v>
      </c>
      <c r="M320" s="145">
        <f>$F320*$G320*$I320*Baseline!E$55/References!$C$29</f>
        <v>0</v>
      </c>
      <c r="N320" s="145">
        <f>$F320*$G320*$J320*Baseline!F$55/References!$C$30</f>
        <v>0</v>
      </c>
      <c r="O320" s="145">
        <f>((L320*References!$C$28)+(Opportunities!M320*References!$C$29)+(Opportunities!N320*References!$C$30))/1000</f>
        <v>0</v>
      </c>
      <c r="P320" s="38">
        <f t="shared" si="42"/>
        <v>0</v>
      </c>
      <c r="Q320" s="38">
        <f>((L320*References!$C$60)+(Opportunities!M320*References!$C$61)+(Opportunities!N320*References!$C$62))/100</f>
        <v>0</v>
      </c>
      <c r="R320" s="35">
        <f t="shared" si="43"/>
        <v>0</v>
      </c>
      <c r="S320" s="36">
        <f>O320/'Graphs&amp;Analysis'!$D$24</f>
        <v>0</v>
      </c>
      <c r="T320" s="153" t="s">
        <v>124</v>
      </c>
      <c r="U320" s="153"/>
      <c r="W320" s="13" t="str">
        <f t="shared" si="44"/>
        <v/>
      </c>
    </row>
    <row r="321" spans="1:23">
      <c r="A321" s="13">
        <f>IF(T321="YES",MAX($A$12:A320)+1,"")</f>
        <v>25</v>
      </c>
      <c r="B321" s="20"/>
      <c r="C321" s="5" t="str">
        <f t="shared" si="45"/>
        <v>Transport Category 1</v>
      </c>
      <c r="D321" s="5"/>
      <c r="E321" s="5" t="s">
        <v>62</v>
      </c>
      <c r="F321" s="152">
        <v>0.5</v>
      </c>
      <c r="G321" s="152">
        <v>1</v>
      </c>
      <c r="H321" s="6">
        <v>0.1</v>
      </c>
      <c r="I321" s="6">
        <v>0.1</v>
      </c>
      <c r="J321" s="6">
        <v>0.1</v>
      </c>
      <c r="K321" s="29">
        <v>500</v>
      </c>
      <c r="L321" s="145">
        <f>$F321*$G321*$H321*Baseline!D$55/References!$C$28</f>
        <v>0</v>
      </c>
      <c r="M321" s="145">
        <f>$F321*$G321*$I321*Baseline!E$55/References!$C$29</f>
        <v>0</v>
      </c>
      <c r="N321" s="145">
        <f>$F321*$G321*$J321*Baseline!F$55/References!$C$30</f>
        <v>0</v>
      </c>
      <c r="O321" s="145">
        <f>((L321*References!$C$28)+(Opportunities!M321*References!$C$29)+(Opportunities!N321*References!$C$30))/1000</f>
        <v>0</v>
      </c>
      <c r="P321" s="38">
        <f t="shared" si="42"/>
        <v>0</v>
      </c>
      <c r="Q321" s="38">
        <f>((L321*References!$C$60)+(Opportunities!M321*References!$C$61)+(Opportunities!N321*References!$C$62))/100</f>
        <v>0</v>
      </c>
      <c r="R321" s="35">
        <f t="shared" si="43"/>
        <v>0</v>
      </c>
      <c r="S321" s="36">
        <f>O321/'Graphs&amp;Analysis'!$D$24</f>
        <v>0</v>
      </c>
      <c r="T321" s="153" t="s">
        <v>124</v>
      </c>
      <c r="U321" s="153"/>
      <c r="W321" s="13" t="str">
        <f t="shared" si="44"/>
        <v/>
      </c>
    </row>
    <row r="322" spans="1:23" ht="25.5">
      <c r="A322" s="13">
        <f>IF(T322="YES",MAX($A$12:A321)+1,"")</f>
        <v>26</v>
      </c>
      <c r="B322" s="20"/>
      <c r="C322" s="5" t="str">
        <f t="shared" si="45"/>
        <v>Transport Category 1</v>
      </c>
      <c r="D322" s="5"/>
      <c r="E322" s="5" t="s">
        <v>63</v>
      </c>
      <c r="F322" s="152">
        <v>0.5</v>
      </c>
      <c r="G322" s="152">
        <v>1</v>
      </c>
      <c r="H322" s="6">
        <v>0.1</v>
      </c>
      <c r="I322" s="6">
        <v>0.1</v>
      </c>
      <c r="J322" s="6">
        <v>0.1</v>
      </c>
      <c r="K322" s="29">
        <v>500</v>
      </c>
      <c r="L322" s="145">
        <f>$F322*$G322*$H322*Baseline!D$55/References!$C$28</f>
        <v>0</v>
      </c>
      <c r="M322" s="145">
        <f>$F322*$G322*$I322*Baseline!E$55/References!$C$29</f>
        <v>0</v>
      </c>
      <c r="N322" s="145">
        <f>$F322*$G322*$J322*Baseline!F$55/References!$C$30</f>
        <v>0</v>
      </c>
      <c r="O322" s="145">
        <f>((L322*References!$C$28)+(Opportunities!M322*References!$C$29)+(Opportunities!N322*References!$C$30))/1000</f>
        <v>0</v>
      </c>
      <c r="P322" s="38">
        <f t="shared" si="42"/>
        <v>0</v>
      </c>
      <c r="Q322" s="38">
        <f>((L322*References!$C$60)+(Opportunities!M322*References!$C$61)+(Opportunities!N322*References!$C$62))/100</f>
        <v>0</v>
      </c>
      <c r="R322" s="35">
        <f t="shared" si="43"/>
        <v>0</v>
      </c>
      <c r="S322" s="36">
        <f>O322/'Graphs&amp;Analysis'!$D$24</f>
        <v>0</v>
      </c>
      <c r="T322" s="153" t="s">
        <v>124</v>
      </c>
      <c r="U322" s="153"/>
      <c r="W322" s="13" t="str">
        <f t="shared" si="44"/>
        <v/>
      </c>
    </row>
    <row r="323" spans="1:23">
      <c r="A323" s="13" t="str">
        <f>IF(T323="YES",MAX($A$12:A322)+1,"")</f>
        <v/>
      </c>
      <c r="B323" s="20"/>
      <c r="C323" s="5" t="str">
        <f t="shared" si="45"/>
        <v>Transport Category 1</v>
      </c>
      <c r="D323" s="5"/>
      <c r="E323" s="5" t="s">
        <v>52</v>
      </c>
      <c r="F323" s="152"/>
      <c r="G323" s="152"/>
      <c r="H323" s="6"/>
      <c r="I323" s="6"/>
      <c r="J323" s="6"/>
      <c r="K323" s="29">
        <v>500</v>
      </c>
      <c r="L323" s="145">
        <f>$F323*$G323*$H323*Baseline!D$55/References!$C$28</f>
        <v>0</v>
      </c>
      <c r="M323" s="145">
        <f>$F323*$G323*$I323*Baseline!E$55/References!$C$29</f>
        <v>0</v>
      </c>
      <c r="N323" s="145">
        <f>$F323*$G323*$J323*Baseline!F$55/References!$C$30</f>
        <v>0</v>
      </c>
      <c r="O323" s="145">
        <f>((L323*References!$C$28)+(Opportunities!M323*References!$C$29)+(Opportunities!N323*References!$C$30))/1000</f>
        <v>0</v>
      </c>
      <c r="P323" s="38">
        <f t="shared" si="42"/>
        <v>0</v>
      </c>
      <c r="Q323" s="38">
        <f>((L323*References!$C$60)+(Opportunities!M323*References!$C$61)+(Opportunities!N323*References!$C$62))/100</f>
        <v>0</v>
      </c>
      <c r="R323" s="35">
        <f t="shared" si="43"/>
        <v>0</v>
      </c>
      <c r="S323" s="36">
        <f>O323/'Graphs&amp;Analysis'!$D$24</f>
        <v>0</v>
      </c>
      <c r="T323" s="153"/>
      <c r="U323" s="153"/>
      <c r="W323" s="13" t="str">
        <f t="shared" si="44"/>
        <v/>
      </c>
    </row>
    <row r="324" spans="1:23">
      <c r="A324" s="13" t="str">
        <f>IF(T324="YES",MAX($A$12:A323)+1,"")</f>
        <v/>
      </c>
      <c r="B324" s="20"/>
      <c r="C324" s="5" t="str">
        <f t="shared" si="45"/>
        <v>Transport Category 1</v>
      </c>
      <c r="D324" s="5"/>
      <c r="E324" s="5" t="s">
        <v>52</v>
      </c>
      <c r="F324" s="152"/>
      <c r="G324" s="152"/>
      <c r="H324" s="6"/>
      <c r="I324" s="6"/>
      <c r="J324" s="6"/>
      <c r="K324" s="29">
        <v>500</v>
      </c>
      <c r="L324" s="145">
        <f>$F324*$G324*$H324*Baseline!D$55/References!$C$28</f>
        <v>0</v>
      </c>
      <c r="M324" s="145">
        <f>$F324*$G324*$I324*Baseline!E$55/References!$C$29</f>
        <v>0</v>
      </c>
      <c r="N324" s="145">
        <f>$F324*$G324*$J324*Baseline!F$55/References!$C$30</f>
        <v>0</v>
      </c>
      <c r="O324" s="145">
        <f>((L324*References!$C$28)+(Opportunities!M324*References!$C$29)+(Opportunities!N324*References!$C$30))/1000</f>
        <v>0</v>
      </c>
      <c r="P324" s="38">
        <f t="shared" si="42"/>
        <v>0</v>
      </c>
      <c r="Q324" s="38">
        <f>((L324*References!$C$60)+(Opportunities!M324*References!$C$61)+(Opportunities!N324*References!$C$62))/100</f>
        <v>0</v>
      </c>
      <c r="R324" s="35">
        <f t="shared" si="43"/>
        <v>0</v>
      </c>
      <c r="S324" s="36">
        <f>O324/'Graphs&amp;Analysis'!$D$24</f>
        <v>0</v>
      </c>
      <c r="T324" s="153"/>
      <c r="U324" s="153"/>
      <c r="W324" s="13" t="str">
        <f t="shared" si="44"/>
        <v/>
      </c>
    </row>
    <row r="325" spans="1:23">
      <c r="A325" s="13" t="str">
        <f>IF(T325="YES",MAX($A$12:A324)+1,"")</f>
        <v/>
      </c>
      <c r="B325" s="20"/>
      <c r="C325" s="5" t="str">
        <f t="shared" si="45"/>
        <v>Transport Category 1</v>
      </c>
      <c r="D325" s="5"/>
      <c r="E325" s="5" t="s">
        <v>52</v>
      </c>
      <c r="F325" s="152"/>
      <c r="G325" s="152"/>
      <c r="H325" s="6"/>
      <c r="I325" s="6"/>
      <c r="J325" s="6"/>
      <c r="K325" s="29">
        <v>500</v>
      </c>
      <c r="L325" s="145">
        <f>$F325*$G325*$H325*Baseline!D$55/References!$C$28</f>
        <v>0</v>
      </c>
      <c r="M325" s="145">
        <f>$F325*$G325*$I325*Baseline!E$55/References!$C$29</f>
        <v>0</v>
      </c>
      <c r="N325" s="145">
        <f>$F325*$G325*$J325*Baseline!F$55/References!$C$30</f>
        <v>0</v>
      </c>
      <c r="O325" s="145">
        <f>((L325*References!$C$28)+(Opportunities!M325*References!$C$29)+(Opportunities!N325*References!$C$30))/1000</f>
        <v>0</v>
      </c>
      <c r="P325" s="38">
        <f>O325*K325</f>
        <v>0</v>
      </c>
      <c r="Q325" s="38">
        <f>((L325*References!$C$60)+(Opportunities!M325*References!$C$61)+(Opportunities!N325*References!$C$62))/100</f>
        <v>0</v>
      </c>
      <c r="R325" s="35">
        <f t="shared" si="43"/>
        <v>0</v>
      </c>
      <c r="S325" s="36">
        <f>O325/'Graphs&amp;Analysis'!$D$24</f>
        <v>0</v>
      </c>
      <c r="T325" s="153"/>
      <c r="U325" s="153"/>
      <c r="W325" s="13" t="str">
        <f t="shared" si="44"/>
        <v/>
      </c>
    </row>
    <row r="326" spans="1:23">
      <c r="A326" s="13" t="str">
        <f>IF(T326="YES",MAX($A$12:A325)+1,"")</f>
        <v/>
      </c>
      <c r="B326" s="20"/>
      <c r="C326" s="5" t="str">
        <f t="shared" si="45"/>
        <v>Transport Category 1</v>
      </c>
      <c r="D326" s="5"/>
      <c r="E326" s="5" t="s">
        <v>52</v>
      </c>
      <c r="F326" s="152"/>
      <c r="G326" s="152"/>
      <c r="H326" s="6"/>
      <c r="I326" s="6"/>
      <c r="J326" s="6"/>
      <c r="K326" s="29">
        <v>500</v>
      </c>
      <c r="L326" s="145">
        <f>$F326*$G326*$H326*Baseline!D$55/References!$C$28</f>
        <v>0</v>
      </c>
      <c r="M326" s="145">
        <f>$F326*$G326*$I326*Baseline!E$55/References!$C$29</f>
        <v>0</v>
      </c>
      <c r="N326" s="145">
        <f>$F326*$G326*$J326*Baseline!F$55/References!$C$30</f>
        <v>0</v>
      </c>
      <c r="O326" s="145">
        <f>((L326*References!$C$28)+(Opportunities!M326*References!$C$29)+(Opportunities!N326*References!$C$30))/1000</f>
        <v>0</v>
      </c>
      <c r="P326" s="38">
        <f t="shared" si="42"/>
        <v>0</v>
      </c>
      <c r="Q326" s="38">
        <f>((L326*References!$C$60)+(Opportunities!M326*References!$C$61)+(Opportunities!N326*References!$C$62))/100</f>
        <v>0</v>
      </c>
      <c r="R326" s="35">
        <f t="shared" si="43"/>
        <v>0</v>
      </c>
      <c r="S326" s="36">
        <f>O326/'Graphs&amp;Analysis'!$D$24</f>
        <v>0</v>
      </c>
      <c r="T326" s="153"/>
      <c r="U326" s="153"/>
      <c r="W326" s="13" t="str">
        <f t="shared" si="44"/>
        <v/>
      </c>
    </row>
    <row r="327" spans="1:23">
      <c r="A327" s="13" t="str">
        <f>IF(T327="YES",MAX($A$12:A326)+1,"")</f>
        <v/>
      </c>
      <c r="B327" s="20"/>
      <c r="C327" s="5" t="str">
        <f t="shared" si="45"/>
        <v>Transport Category 1</v>
      </c>
      <c r="D327" s="5"/>
      <c r="E327" s="5" t="s">
        <v>52</v>
      </c>
      <c r="F327" s="152"/>
      <c r="G327" s="152"/>
      <c r="H327" s="6"/>
      <c r="I327" s="6"/>
      <c r="J327" s="6"/>
      <c r="K327" s="29">
        <v>500</v>
      </c>
      <c r="L327" s="145">
        <f>$F327*$G327*$H327*Baseline!D$55/References!$C$28</f>
        <v>0</v>
      </c>
      <c r="M327" s="145">
        <f>$F327*$G327*$I327*Baseline!E$55/References!$C$29</f>
        <v>0</v>
      </c>
      <c r="N327" s="145">
        <f>$F327*$G327*$J327*Baseline!F$55/References!$C$30</f>
        <v>0</v>
      </c>
      <c r="O327" s="145">
        <f>((L327*References!$C$28)+(Opportunities!M327*References!$C$29)+(Opportunities!N327*References!$C$30))/1000</f>
        <v>0</v>
      </c>
      <c r="P327" s="38">
        <f t="shared" si="42"/>
        <v>0</v>
      </c>
      <c r="Q327" s="38">
        <f>((L327*References!$C$60)+(Opportunities!M327*References!$C$61)+(Opportunities!N327*References!$C$62))/100</f>
        <v>0</v>
      </c>
      <c r="R327" s="35">
        <f t="shared" si="43"/>
        <v>0</v>
      </c>
      <c r="S327" s="36">
        <f>O327/'Graphs&amp;Analysis'!$D$24</f>
        <v>0</v>
      </c>
      <c r="T327" s="153"/>
      <c r="U327" s="153"/>
      <c r="W327" s="13" t="str">
        <f t="shared" si="44"/>
        <v/>
      </c>
    </row>
    <row r="328" spans="1:23">
      <c r="A328" s="13" t="str">
        <f>IF(T328="YES",MAX($A$12:A327)+1,"")</f>
        <v/>
      </c>
      <c r="C328" s="23"/>
      <c r="D328" s="23"/>
      <c r="E328" s="79"/>
      <c r="F328" s="23"/>
      <c r="G328" s="23"/>
      <c r="H328" s="79"/>
      <c r="I328" s="74"/>
      <c r="J328" s="23"/>
      <c r="K328" s="23"/>
      <c r="L328" s="23"/>
      <c r="M328" s="23"/>
      <c r="N328" s="23"/>
      <c r="O328" s="23"/>
      <c r="P328" s="23"/>
      <c r="Q328" s="23"/>
      <c r="R328" s="23"/>
      <c r="S328" s="23"/>
      <c r="T328" s="23"/>
      <c r="U328" s="23"/>
    </row>
    <row r="329" spans="1:23">
      <c r="A329" s="13" t="str">
        <f>IF(T329="YES",MAX($A$12:A328)+1,"")</f>
        <v/>
      </c>
      <c r="B329" s="252" t="s">
        <v>128</v>
      </c>
      <c r="C329" s="252"/>
      <c r="D329" s="71"/>
      <c r="H329" s="16"/>
      <c r="I329" s="67"/>
      <c r="K329" s="68"/>
      <c r="L329" s="68"/>
      <c r="M329" s="68"/>
      <c r="N329" s="68" t="s">
        <v>3</v>
      </c>
      <c r="O329" s="69">
        <f>SUM(O318:O327)</f>
        <v>0</v>
      </c>
      <c r="P329" s="69"/>
    </row>
    <row r="330" spans="1:23">
      <c r="A330" s="13" t="str">
        <f>IF(T330="YES",MAX($A$12:A329)+1,"")</f>
        <v/>
      </c>
      <c r="H330" s="16"/>
      <c r="I330" s="67"/>
      <c r="K330" s="68"/>
      <c r="L330" s="68"/>
      <c r="M330" s="68"/>
      <c r="N330" s="68" t="str">
        <f>CONCATENATE("Savings as a % of  ",C318," emissions")</f>
        <v>Savings as a % of  Transport Category 1 emissions</v>
      </c>
      <c r="O330" s="186" t="e">
        <f>O329/Baseline!$G$65</f>
        <v>#DIV/0!</v>
      </c>
    </row>
    <row r="331" spans="1:23">
      <c r="A331" s="13" t="str">
        <f>IF(T331="YES",MAX($A$12:A330)+1,"")</f>
        <v/>
      </c>
    </row>
    <row r="332" spans="1:23">
      <c r="A332" s="13" t="str">
        <f>IF(T332="YES",MAX($A$12:A331)+1,"")</f>
        <v/>
      </c>
    </row>
    <row r="333" spans="1:23" ht="12.75" customHeight="1">
      <c r="A333" s="13" t="str">
        <f>IF(T333="YES",MAX($A$12:A332)+1,"")</f>
        <v/>
      </c>
      <c r="B333" s="187"/>
      <c r="C333" s="188" t="s">
        <v>197</v>
      </c>
      <c r="D333" s="176"/>
      <c r="E333" s="238"/>
      <c r="F333" s="176"/>
      <c r="G333" s="176"/>
      <c r="H333" s="176"/>
      <c r="I333" s="176"/>
      <c r="J333" s="176"/>
      <c r="K333" s="176"/>
      <c r="L333" s="176"/>
      <c r="M333" s="176"/>
      <c r="N333" s="176"/>
      <c r="O333" s="176"/>
      <c r="P333" s="176"/>
      <c r="Q333" s="176"/>
      <c r="R333" s="176"/>
      <c r="S333" s="176"/>
      <c r="T333" s="176"/>
      <c r="U333" s="176"/>
      <c r="V333" s="182"/>
    </row>
    <row r="334" spans="1:23" ht="25.5" customHeight="1">
      <c r="A334" s="13" t="str">
        <f>IF(T334="YES",MAX($A$12:A333)+1,"")</f>
        <v/>
      </c>
      <c r="B334" s="20"/>
      <c r="C334" s="248" t="s">
        <v>151</v>
      </c>
      <c r="D334" s="250"/>
      <c r="E334" s="248" t="s">
        <v>59</v>
      </c>
      <c r="F334" s="248" t="s">
        <v>7</v>
      </c>
      <c r="G334" s="248" t="s">
        <v>8</v>
      </c>
      <c r="H334" s="256" t="s">
        <v>58</v>
      </c>
      <c r="I334" s="257"/>
      <c r="J334" s="258"/>
      <c r="K334" s="250" t="s">
        <v>109</v>
      </c>
      <c r="L334" s="248" t="s">
        <v>213</v>
      </c>
      <c r="M334" s="248" t="s">
        <v>214</v>
      </c>
      <c r="N334" s="248" t="s">
        <v>215</v>
      </c>
      <c r="O334" s="249" t="s">
        <v>14</v>
      </c>
      <c r="P334" s="248" t="s">
        <v>108</v>
      </c>
      <c r="Q334" s="248" t="s">
        <v>111</v>
      </c>
      <c r="R334" s="248" t="s">
        <v>150</v>
      </c>
      <c r="S334" s="248" t="s">
        <v>77</v>
      </c>
      <c r="T334" s="248" t="s">
        <v>110</v>
      </c>
      <c r="U334" s="248" t="s">
        <v>160</v>
      </c>
    </row>
    <row r="335" spans="1:23" ht="25.5" customHeight="1">
      <c r="A335" s="13" t="str">
        <f>IF(T335="YES",MAX($A$12:A334)+1,"")</f>
        <v/>
      </c>
      <c r="B335" s="20"/>
      <c r="C335" s="248"/>
      <c r="D335" s="251"/>
      <c r="E335" s="248"/>
      <c r="F335" s="248"/>
      <c r="G335" s="248"/>
      <c r="H335" s="10" t="s">
        <v>118</v>
      </c>
      <c r="I335" s="10" t="s">
        <v>119</v>
      </c>
      <c r="J335" s="10" t="s">
        <v>204</v>
      </c>
      <c r="K335" s="251"/>
      <c r="L335" s="248"/>
      <c r="M335" s="248"/>
      <c r="N335" s="248"/>
      <c r="O335" s="249"/>
      <c r="P335" s="248"/>
      <c r="Q335" s="248"/>
      <c r="R335" s="248"/>
      <c r="S335" s="248"/>
      <c r="T335" s="248"/>
      <c r="U335" s="248"/>
    </row>
    <row r="336" spans="1:23">
      <c r="A336" s="13" t="str">
        <f>IF(T336="YES",MAX($A$12:A335)+1,"")</f>
        <v/>
      </c>
      <c r="B336" s="20"/>
      <c r="C336" s="5" t="str">
        <f>Baseline!C56</f>
        <v>business Air</v>
      </c>
      <c r="D336" s="5"/>
      <c r="E336" s="5" t="s">
        <v>158</v>
      </c>
      <c r="F336" s="152"/>
      <c r="G336" s="152"/>
      <c r="H336" s="6">
        <v>0.1</v>
      </c>
      <c r="I336" s="6">
        <v>0.1</v>
      </c>
      <c r="J336" s="6">
        <v>0.1</v>
      </c>
      <c r="K336" s="29">
        <v>500</v>
      </c>
      <c r="L336" s="145">
        <f>$F336*$G336*$H336*Baseline!D$56/References!$C$28</f>
        <v>0</v>
      </c>
      <c r="M336" s="145">
        <f>$F336*$G336*$I336*Baseline!E$56/References!$C$29</f>
        <v>0</v>
      </c>
      <c r="N336" s="145">
        <f>$F336*$G336*$J336*Baseline!F$56/References!$C$30</f>
        <v>0</v>
      </c>
      <c r="O336" s="145">
        <f>((L336*References!$C$28)+(Opportunities!M336*References!$C$29)+(Opportunities!N336*References!$C$30))/1000</f>
        <v>0</v>
      </c>
      <c r="P336" s="38">
        <f>O336*K336</f>
        <v>0</v>
      </c>
      <c r="Q336" s="38">
        <f>((L336*References!$C$60)+(Opportunities!M336*References!$C$61)+(Opportunities!N336*References!$C$62))/100</f>
        <v>0</v>
      </c>
      <c r="R336" s="35">
        <f>IF(ISERROR(P336/Q336),0,P336/Q336)</f>
        <v>0</v>
      </c>
      <c r="S336" s="36">
        <f>O336/'Graphs&amp;Analysis'!$D$24</f>
        <v>0</v>
      </c>
      <c r="T336" s="153"/>
      <c r="U336" s="153"/>
      <c r="W336" s="13" t="str">
        <f t="shared" ref="W336:W345" si="46">IF(O336&gt;0,IF(N336&gt;0,"Air", "Road"),"")</f>
        <v/>
      </c>
    </row>
    <row r="337" spans="1:23" ht="25.5">
      <c r="A337" s="13" t="str">
        <f>IF(T337="YES",MAX($A$12:A336)+1,"")</f>
        <v/>
      </c>
      <c r="B337" s="20"/>
      <c r="C337" s="5" t="str">
        <f>C336</f>
        <v>business Air</v>
      </c>
      <c r="D337" s="5"/>
      <c r="E337" s="5" t="s">
        <v>60</v>
      </c>
      <c r="F337" s="152"/>
      <c r="G337" s="152"/>
      <c r="H337" s="6">
        <v>0.5</v>
      </c>
      <c r="I337" s="6">
        <v>0.5</v>
      </c>
      <c r="J337" s="6">
        <v>0.5</v>
      </c>
      <c r="K337" s="29">
        <v>500</v>
      </c>
      <c r="L337" s="145">
        <f>$F337*$G337*$H337*Baseline!D$56/References!$C$28</f>
        <v>0</v>
      </c>
      <c r="M337" s="145">
        <f>$F337*$G337*$I337*Baseline!E$56/References!$C$29</f>
        <v>0</v>
      </c>
      <c r="N337" s="145">
        <f>$F337*$G337*$J337*Baseline!F$56/References!$C$30</f>
        <v>0</v>
      </c>
      <c r="O337" s="145">
        <f>((L337*References!$C$28)+(Opportunities!M337*References!$C$29)+(Opportunities!N337*References!$C$30))/1000</f>
        <v>0</v>
      </c>
      <c r="P337" s="38">
        <f t="shared" ref="P337:P342" si="47">O337*K337</f>
        <v>0</v>
      </c>
      <c r="Q337" s="38">
        <f>((L337*References!$C$60)+(Opportunities!M337*References!$C$61)+(Opportunities!N337*References!$C$62))/100</f>
        <v>0</v>
      </c>
      <c r="R337" s="35">
        <f t="shared" ref="R337:R345" si="48">IF(ISERROR(P337/Q337),0,P337/Q337)</f>
        <v>0</v>
      </c>
      <c r="S337" s="36">
        <f>O337/'Graphs&amp;Analysis'!$D$24</f>
        <v>0</v>
      </c>
      <c r="T337" s="153"/>
      <c r="U337" s="153"/>
      <c r="W337" s="13" t="str">
        <f t="shared" si="46"/>
        <v/>
      </c>
    </row>
    <row r="338" spans="1:23" ht="25.5">
      <c r="A338" s="13" t="str">
        <f>IF(T338="YES",MAX($A$12:A337)+1,"")</f>
        <v/>
      </c>
      <c r="B338" s="20"/>
      <c r="C338" s="5" t="str">
        <f t="shared" ref="C338:C345" si="49">C337</f>
        <v>business Air</v>
      </c>
      <c r="D338" s="5"/>
      <c r="E338" s="5" t="s">
        <v>61</v>
      </c>
      <c r="F338" s="152"/>
      <c r="G338" s="152"/>
      <c r="H338" s="6"/>
      <c r="I338" s="6">
        <v>0.05</v>
      </c>
      <c r="J338" s="6"/>
      <c r="K338" s="29">
        <v>500</v>
      </c>
      <c r="L338" s="145">
        <f>$F338*$G338*$H338*Baseline!D$56/References!$C$28</f>
        <v>0</v>
      </c>
      <c r="M338" s="145">
        <f>$F338*$G338*$I338*Baseline!E$56/References!$C$29</f>
        <v>0</v>
      </c>
      <c r="N338" s="145">
        <f>$F338*$G338*$J338*Baseline!F$56/References!$C$30</f>
        <v>0</v>
      </c>
      <c r="O338" s="145">
        <f>((L338*References!$C$28)+(Opportunities!M338*References!$C$29)+(Opportunities!N338*References!$C$30))/1000</f>
        <v>0</v>
      </c>
      <c r="P338" s="38">
        <f t="shared" si="47"/>
        <v>0</v>
      </c>
      <c r="Q338" s="38">
        <f>((L338*References!$C$60)+(Opportunities!M338*References!$C$61)+(Opportunities!N338*References!$C$62))/100</f>
        <v>0</v>
      </c>
      <c r="R338" s="35">
        <f t="shared" si="48"/>
        <v>0</v>
      </c>
      <c r="S338" s="36">
        <f>O338/'Graphs&amp;Analysis'!$D$24</f>
        <v>0</v>
      </c>
      <c r="T338" s="153"/>
      <c r="U338" s="153"/>
      <c r="W338" s="13" t="str">
        <f t="shared" si="46"/>
        <v/>
      </c>
    </row>
    <row r="339" spans="1:23">
      <c r="A339" s="13" t="str">
        <f>IF(T339="YES",MAX($A$12:A338)+1,"")</f>
        <v/>
      </c>
      <c r="B339" s="20"/>
      <c r="C339" s="5" t="str">
        <f t="shared" si="49"/>
        <v>business Air</v>
      </c>
      <c r="D339" s="5"/>
      <c r="E339" s="5" t="s">
        <v>62</v>
      </c>
      <c r="F339" s="152"/>
      <c r="G339" s="152"/>
      <c r="H339" s="6">
        <v>0.1</v>
      </c>
      <c r="I339" s="6">
        <v>0.1</v>
      </c>
      <c r="J339" s="6">
        <v>0.1</v>
      </c>
      <c r="K339" s="29">
        <v>500</v>
      </c>
      <c r="L339" s="145">
        <f>$F339*$G339*$H339*Baseline!D$56/References!$C$28</f>
        <v>0</v>
      </c>
      <c r="M339" s="145">
        <f>$F339*$G339*$I339*Baseline!E$56/References!$C$29</f>
        <v>0</v>
      </c>
      <c r="N339" s="145">
        <f>$F339*$G339*$J339*Baseline!F$56/References!$C$30</f>
        <v>0</v>
      </c>
      <c r="O339" s="145">
        <f>((L339*References!$C$28)+(Opportunities!M339*References!$C$29)+(Opportunities!N339*References!$C$30))/1000</f>
        <v>0</v>
      </c>
      <c r="P339" s="38">
        <f t="shared" si="47"/>
        <v>0</v>
      </c>
      <c r="Q339" s="38">
        <f>((L339*References!$C$60)+(Opportunities!M339*References!$C$61)+(Opportunities!N339*References!$C$62))/100</f>
        <v>0</v>
      </c>
      <c r="R339" s="35">
        <f t="shared" si="48"/>
        <v>0</v>
      </c>
      <c r="S339" s="36">
        <f>O339/'Graphs&amp;Analysis'!$D$24</f>
        <v>0</v>
      </c>
      <c r="T339" s="153"/>
      <c r="U339" s="153"/>
      <c r="W339" s="13" t="str">
        <f t="shared" si="46"/>
        <v/>
      </c>
    </row>
    <row r="340" spans="1:23" ht="25.5">
      <c r="A340" s="13" t="str">
        <f>IF(T340="YES",MAX($A$12:A339)+1,"")</f>
        <v/>
      </c>
      <c r="B340" s="20"/>
      <c r="C340" s="5" t="str">
        <f t="shared" si="49"/>
        <v>business Air</v>
      </c>
      <c r="D340" s="5"/>
      <c r="E340" s="5" t="s">
        <v>63</v>
      </c>
      <c r="F340" s="152"/>
      <c r="G340" s="152"/>
      <c r="H340" s="6">
        <v>0.1</v>
      </c>
      <c r="I340" s="6">
        <v>0.1</v>
      </c>
      <c r="J340" s="6">
        <v>0.1</v>
      </c>
      <c r="K340" s="29">
        <v>500</v>
      </c>
      <c r="L340" s="145">
        <f>$F340*$G340*$H340*Baseline!D$56/References!$C$28</f>
        <v>0</v>
      </c>
      <c r="M340" s="145">
        <f>$F340*$G340*$I340*Baseline!E$56/References!$C$29</f>
        <v>0</v>
      </c>
      <c r="N340" s="145">
        <f>$F340*$G340*$J340*Baseline!F$56/References!$C$30</f>
        <v>0</v>
      </c>
      <c r="O340" s="145">
        <f>((L340*References!$C$28)+(Opportunities!M340*References!$C$29)+(Opportunities!N340*References!$C$30))/1000</f>
        <v>0</v>
      </c>
      <c r="P340" s="38">
        <f t="shared" si="47"/>
        <v>0</v>
      </c>
      <c r="Q340" s="38">
        <f>((L340*References!$C$60)+(Opportunities!M340*References!$C$61)+(Opportunities!N340*References!$C$62))/100</f>
        <v>0</v>
      </c>
      <c r="R340" s="35">
        <f t="shared" si="48"/>
        <v>0</v>
      </c>
      <c r="S340" s="36">
        <f>O340/'Graphs&amp;Analysis'!$D$24</f>
        <v>0</v>
      </c>
      <c r="T340" s="153"/>
      <c r="U340" s="153"/>
      <c r="W340" s="13" t="str">
        <f t="shared" si="46"/>
        <v/>
      </c>
    </row>
    <row r="341" spans="1:23">
      <c r="A341" s="13">
        <f>IF(T341="YES",MAX($A$12:A340)+1,"")</f>
        <v>27</v>
      </c>
      <c r="B341" s="20"/>
      <c r="C341" s="5" t="str">
        <f t="shared" si="49"/>
        <v>business Air</v>
      </c>
      <c r="D341" s="5"/>
      <c r="E341" s="5" t="s">
        <v>240</v>
      </c>
      <c r="F341" s="152">
        <v>1</v>
      </c>
      <c r="G341" s="152">
        <v>0.5</v>
      </c>
      <c r="H341" s="6"/>
      <c r="I341" s="6"/>
      <c r="J341" s="6">
        <v>0.25</v>
      </c>
      <c r="K341" s="29">
        <v>500</v>
      </c>
      <c r="L341" s="145">
        <f>$F341*$G341*$H341*Baseline!D$56/References!$C$28</f>
        <v>0</v>
      </c>
      <c r="M341" s="145">
        <f>$F341*$G341*$I341*Baseline!E$56/References!$C$29</f>
        <v>0</v>
      </c>
      <c r="N341" s="145">
        <f>$F341*$G341*$J341*Baseline!F$56/References!$C$30</f>
        <v>0</v>
      </c>
      <c r="O341" s="145">
        <f>((L341*References!$C$28)+(Opportunities!M341*References!$C$29)+(Opportunities!N341*References!$C$30))/1000</f>
        <v>0</v>
      </c>
      <c r="P341" s="38">
        <f t="shared" si="47"/>
        <v>0</v>
      </c>
      <c r="Q341" s="38">
        <f>((L341*References!$C$60)+(Opportunities!M341*References!$C$61)+(Opportunities!N341*References!$C$62))/100</f>
        <v>0</v>
      </c>
      <c r="R341" s="35">
        <f t="shared" si="48"/>
        <v>0</v>
      </c>
      <c r="S341" s="36">
        <f>O341/'Graphs&amp;Analysis'!$D$24</f>
        <v>0</v>
      </c>
      <c r="T341" s="153" t="s">
        <v>124</v>
      </c>
      <c r="U341" s="153"/>
      <c r="W341" s="13" t="str">
        <f t="shared" si="46"/>
        <v/>
      </c>
    </row>
    <row r="342" spans="1:23">
      <c r="A342" s="13" t="str">
        <f>IF(T342="YES",MAX($A$12:A341)+1,"")</f>
        <v/>
      </c>
      <c r="B342" s="20"/>
      <c r="C342" s="5" t="str">
        <f t="shared" si="49"/>
        <v>business Air</v>
      </c>
      <c r="D342" s="5"/>
      <c r="E342" s="5" t="s">
        <v>52</v>
      </c>
      <c r="F342" s="152"/>
      <c r="G342" s="152"/>
      <c r="H342" s="6"/>
      <c r="I342" s="6"/>
      <c r="J342" s="6"/>
      <c r="K342" s="29">
        <v>500</v>
      </c>
      <c r="L342" s="145">
        <f>$F342*$G342*$H342*Baseline!D$56/References!$C$28</f>
        <v>0</v>
      </c>
      <c r="M342" s="145">
        <f>$F342*$G342*$I342*Baseline!E$56/References!$C$29</f>
        <v>0</v>
      </c>
      <c r="N342" s="145">
        <f>$F342*$G342*$J342*Baseline!F$56/References!$C$30</f>
        <v>0</v>
      </c>
      <c r="O342" s="145">
        <f>((L342*References!$C$28)+(Opportunities!M342*References!$C$29)+(Opportunities!N342*References!$C$30))/1000</f>
        <v>0</v>
      </c>
      <c r="P342" s="38">
        <f t="shared" si="47"/>
        <v>0</v>
      </c>
      <c r="Q342" s="38">
        <f>((L342*References!$C$60)+(Opportunities!M342*References!$C$61)+(Opportunities!N342*References!$C$62))/100</f>
        <v>0</v>
      </c>
      <c r="R342" s="35">
        <f t="shared" si="48"/>
        <v>0</v>
      </c>
      <c r="S342" s="36">
        <f>O342/'Graphs&amp;Analysis'!$D$24</f>
        <v>0</v>
      </c>
      <c r="T342" s="153"/>
      <c r="U342" s="153"/>
      <c r="W342" s="13" t="str">
        <f t="shared" si="46"/>
        <v/>
      </c>
    </row>
    <row r="343" spans="1:23">
      <c r="A343" s="13" t="str">
        <f>IF(T343="YES",MAX($A$12:A342)+1,"")</f>
        <v/>
      </c>
      <c r="B343" s="20"/>
      <c r="C343" s="5" t="str">
        <f t="shared" si="49"/>
        <v>business Air</v>
      </c>
      <c r="D343" s="5"/>
      <c r="E343" s="5" t="s">
        <v>52</v>
      </c>
      <c r="F343" s="152"/>
      <c r="G343" s="152"/>
      <c r="H343" s="6"/>
      <c r="I343" s="6"/>
      <c r="J343" s="6"/>
      <c r="K343" s="29">
        <v>500</v>
      </c>
      <c r="L343" s="145">
        <f>$F343*$G343*$H343*Baseline!D$56/References!$C$28</f>
        <v>0</v>
      </c>
      <c r="M343" s="145">
        <f>$F343*$G343*$I343*Baseline!E$56/References!$C$29</f>
        <v>0</v>
      </c>
      <c r="N343" s="145">
        <f>$F343*$G343*$J343*Baseline!F$56/References!$C$30</f>
        <v>0</v>
      </c>
      <c r="O343" s="145">
        <f>((L343*References!$C$28)+(Opportunities!M343*References!$C$29)+(Opportunities!N343*References!$C$30))/1000</f>
        <v>0</v>
      </c>
      <c r="P343" s="38">
        <f>O343*K343</f>
        <v>0</v>
      </c>
      <c r="Q343" s="38">
        <f>((L343*References!$C$60)+(Opportunities!M343*References!$C$61)+(Opportunities!N343*References!$C$62))/100</f>
        <v>0</v>
      </c>
      <c r="R343" s="35">
        <f t="shared" si="48"/>
        <v>0</v>
      </c>
      <c r="S343" s="36">
        <f>O343/'Graphs&amp;Analysis'!$D$24</f>
        <v>0</v>
      </c>
      <c r="T343" s="153"/>
      <c r="U343" s="153"/>
      <c r="W343" s="13" t="str">
        <f t="shared" si="46"/>
        <v/>
      </c>
    </row>
    <row r="344" spans="1:23">
      <c r="A344" s="13" t="str">
        <f>IF(T344="YES",MAX($A$12:A343)+1,"")</f>
        <v/>
      </c>
      <c r="B344" s="20"/>
      <c r="C344" s="5" t="str">
        <f t="shared" si="49"/>
        <v>business Air</v>
      </c>
      <c r="D344" s="5"/>
      <c r="E344" s="5" t="s">
        <v>52</v>
      </c>
      <c r="F344" s="152"/>
      <c r="G344" s="152"/>
      <c r="H344" s="6"/>
      <c r="I344" s="6"/>
      <c r="J344" s="6"/>
      <c r="K344" s="29">
        <v>500</v>
      </c>
      <c r="L344" s="145">
        <f>$F344*$G344*$H344*Baseline!D$56/References!$C$28</f>
        <v>0</v>
      </c>
      <c r="M344" s="145">
        <f>$F344*$G344*$I344*Baseline!E$56/References!$C$29</f>
        <v>0</v>
      </c>
      <c r="N344" s="145">
        <f>$F344*$G344*$J344*Baseline!F$56/References!$C$30</f>
        <v>0</v>
      </c>
      <c r="O344" s="145">
        <f>((L344*References!$C$28)+(Opportunities!M344*References!$C$29)+(Opportunities!N344*References!$C$30))/1000</f>
        <v>0</v>
      </c>
      <c r="P344" s="38">
        <f>O344*K344</f>
        <v>0</v>
      </c>
      <c r="Q344" s="38">
        <f>((L344*References!$C$60)+(Opportunities!M344*References!$C$61)+(Opportunities!N344*References!$C$62))/100</f>
        <v>0</v>
      </c>
      <c r="R344" s="35">
        <f t="shared" si="48"/>
        <v>0</v>
      </c>
      <c r="S344" s="36">
        <f>O344/'Graphs&amp;Analysis'!$D$24</f>
        <v>0</v>
      </c>
      <c r="T344" s="153"/>
      <c r="U344" s="153"/>
      <c r="W344" s="13" t="str">
        <f t="shared" si="46"/>
        <v/>
      </c>
    </row>
    <row r="345" spans="1:23">
      <c r="A345" s="13" t="str">
        <f>IF(T345="YES",MAX($A$12:A344)+1,"")</f>
        <v/>
      </c>
      <c r="B345" s="20"/>
      <c r="C345" s="5" t="str">
        <f t="shared" si="49"/>
        <v>business Air</v>
      </c>
      <c r="D345" s="5"/>
      <c r="E345" s="5" t="s">
        <v>52</v>
      </c>
      <c r="F345" s="152"/>
      <c r="G345" s="152"/>
      <c r="H345" s="6"/>
      <c r="I345" s="6"/>
      <c r="J345" s="6"/>
      <c r="K345" s="29">
        <v>500</v>
      </c>
      <c r="L345" s="145">
        <f>$F345*$G345*$H345*Baseline!D$56/References!$C$28</f>
        <v>0</v>
      </c>
      <c r="M345" s="145">
        <f>$F345*$G345*$I345*Baseline!E$56/References!$C$29</f>
        <v>0</v>
      </c>
      <c r="N345" s="145">
        <f>$F345*$G345*$J345*Baseline!F$56/References!$C$30</f>
        <v>0</v>
      </c>
      <c r="O345" s="145">
        <f>((L345*References!$C$28)+(Opportunities!M345*References!$C$29)+(Opportunities!N345*References!$C$30))/1000</f>
        <v>0</v>
      </c>
      <c r="P345" s="38">
        <f>O345*K345</f>
        <v>0</v>
      </c>
      <c r="Q345" s="38">
        <f>((L345*References!$C$60)+(Opportunities!M345*References!$C$61)+(Opportunities!N345*References!$C$62))/100</f>
        <v>0</v>
      </c>
      <c r="R345" s="35">
        <f t="shared" si="48"/>
        <v>0</v>
      </c>
      <c r="S345" s="36">
        <f>O345/'Graphs&amp;Analysis'!$D$24</f>
        <v>0</v>
      </c>
      <c r="T345" s="153"/>
      <c r="U345" s="153"/>
      <c r="W345" s="13" t="str">
        <f t="shared" si="46"/>
        <v/>
      </c>
    </row>
    <row r="346" spans="1:23">
      <c r="A346" s="13" t="str">
        <f>IF(T346="YES",MAX($A$12:A345)+1,"")</f>
        <v/>
      </c>
      <c r="C346" s="23"/>
      <c r="D346" s="23"/>
      <c r="E346" s="79"/>
      <c r="F346" s="23"/>
      <c r="G346" s="23"/>
      <c r="H346" s="79"/>
      <c r="I346" s="74"/>
      <c r="J346" s="23"/>
      <c r="K346" s="23"/>
      <c r="L346" s="23"/>
      <c r="M346" s="23"/>
      <c r="N346" s="23"/>
      <c r="O346" s="23"/>
      <c r="P346" s="23"/>
      <c r="Q346" s="23"/>
      <c r="R346" s="23"/>
      <c r="S346" s="23"/>
      <c r="T346" s="23"/>
      <c r="U346" s="23"/>
    </row>
    <row r="347" spans="1:23">
      <c r="A347" s="13" t="str">
        <f>IF(T347="YES",MAX($A$12:A346)+1,"")</f>
        <v/>
      </c>
      <c r="B347" s="252" t="s">
        <v>128</v>
      </c>
      <c r="C347" s="252"/>
      <c r="D347" s="71"/>
      <c r="H347" s="16"/>
      <c r="I347" s="67"/>
      <c r="K347" s="68"/>
      <c r="L347" s="68"/>
      <c r="M347" s="68"/>
      <c r="N347" s="68" t="s">
        <v>3</v>
      </c>
      <c r="O347" s="69">
        <f>SUM(O336:O345)</f>
        <v>0</v>
      </c>
      <c r="P347" s="69"/>
    </row>
    <row r="348" spans="1:23">
      <c r="A348" s="13" t="str">
        <f>IF(T348="YES",MAX($A$12:A347)+1,"")</f>
        <v/>
      </c>
      <c r="H348" s="16"/>
      <c r="I348" s="67"/>
      <c r="K348" s="68"/>
      <c r="L348" s="68"/>
      <c r="M348" s="68"/>
      <c r="N348" s="68" t="str">
        <f>CONCATENATE("Savings as a % of  ",C336," emissions")</f>
        <v>Savings as a % of  business Air emissions</v>
      </c>
      <c r="O348" s="186" t="e">
        <f>O347/Baseline!$G$65</f>
        <v>#DIV/0!</v>
      </c>
    </row>
    <row r="349" spans="1:23">
      <c r="A349" s="13" t="str">
        <f>IF(T349="YES",MAX($A$12:A348)+1,"")</f>
        <v/>
      </c>
    </row>
    <row r="350" spans="1:23">
      <c r="A350" s="13" t="str">
        <f>IF(T350="YES",MAX($A$12:A349)+1,"")</f>
        <v/>
      </c>
    </row>
    <row r="351" spans="1:23" ht="12.75" customHeight="1">
      <c r="A351" s="13" t="str">
        <f>IF(T351="YES",MAX($A$12:A350)+1,"")</f>
        <v/>
      </c>
      <c r="B351" s="187"/>
      <c r="C351" s="188" t="s">
        <v>198</v>
      </c>
      <c r="D351" s="176"/>
      <c r="E351" s="238"/>
      <c r="F351" s="176"/>
      <c r="G351" s="176"/>
      <c r="H351" s="176"/>
      <c r="I351" s="176"/>
      <c r="J351" s="176"/>
      <c r="K351" s="176"/>
      <c r="L351" s="176"/>
      <c r="M351" s="176"/>
      <c r="N351" s="176"/>
      <c r="O351" s="176"/>
      <c r="P351" s="176"/>
      <c r="Q351" s="176"/>
      <c r="R351" s="176"/>
      <c r="S351" s="176"/>
      <c r="T351" s="176"/>
      <c r="U351" s="176"/>
      <c r="V351" s="182"/>
    </row>
    <row r="352" spans="1:23" ht="33.75" customHeight="1">
      <c r="A352" s="13" t="str">
        <f>IF(T352="YES",MAX($A$12:A351)+1,"")</f>
        <v/>
      </c>
      <c r="B352" s="20"/>
      <c r="C352" s="248" t="s">
        <v>151</v>
      </c>
      <c r="D352" s="250"/>
      <c r="E352" s="248" t="s">
        <v>59</v>
      </c>
      <c r="F352" s="248" t="s">
        <v>7</v>
      </c>
      <c r="G352" s="248" t="s">
        <v>8</v>
      </c>
      <c r="H352" s="256" t="s">
        <v>58</v>
      </c>
      <c r="I352" s="257"/>
      <c r="J352" s="258"/>
      <c r="K352" s="250" t="s">
        <v>109</v>
      </c>
      <c r="L352" s="248" t="s">
        <v>213</v>
      </c>
      <c r="M352" s="248" t="s">
        <v>214</v>
      </c>
      <c r="N352" s="248" t="s">
        <v>215</v>
      </c>
      <c r="O352" s="249" t="s">
        <v>14</v>
      </c>
      <c r="P352" s="248" t="s">
        <v>108</v>
      </c>
      <c r="Q352" s="248" t="s">
        <v>111</v>
      </c>
      <c r="R352" s="248" t="s">
        <v>150</v>
      </c>
      <c r="S352" s="248" t="s">
        <v>77</v>
      </c>
      <c r="T352" s="248" t="s">
        <v>110</v>
      </c>
      <c r="U352" s="248" t="s">
        <v>160</v>
      </c>
    </row>
    <row r="353" spans="1:23" ht="17.25" customHeight="1">
      <c r="A353" s="13" t="str">
        <f>IF(T353="YES",MAX($A$12:A352)+1,"")</f>
        <v/>
      </c>
      <c r="B353" s="20"/>
      <c r="C353" s="248"/>
      <c r="D353" s="251"/>
      <c r="E353" s="248"/>
      <c r="F353" s="248"/>
      <c r="G353" s="248"/>
      <c r="H353" s="10" t="s">
        <v>118</v>
      </c>
      <c r="I353" s="10" t="s">
        <v>119</v>
      </c>
      <c r="J353" s="10" t="s">
        <v>204</v>
      </c>
      <c r="K353" s="251"/>
      <c r="L353" s="248"/>
      <c r="M353" s="248"/>
      <c r="N353" s="248"/>
      <c r="O353" s="249"/>
      <c r="P353" s="248"/>
      <c r="Q353" s="248"/>
      <c r="R353" s="248"/>
      <c r="S353" s="248"/>
      <c r="T353" s="248"/>
      <c r="U353" s="248"/>
    </row>
    <row r="354" spans="1:23">
      <c r="A354" s="13" t="str">
        <f>IF(T354="YES",MAX($A$12:A353)+1,"")</f>
        <v/>
      </c>
      <c r="B354" s="20"/>
      <c r="C354" s="5" t="str">
        <f>Baseline!C57</f>
        <v>Transport Category 3</v>
      </c>
      <c r="D354" s="5"/>
      <c r="E354" s="5" t="s">
        <v>158</v>
      </c>
      <c r="F354" s="152"/>
      <c r="G354" s="152"/>
      <c r="H354" s="6">
        <v>0.1</v>
      </c>
      <c r="I354" s="6">
        <v>0.1</v>
      </c>
      <c r="J354" s="6">
        <v>0.1</v>
      </c>
      <c r="K354" s="29">
        <v>500</v>
      </c>
      <c r="L354" s="145">
        <f>$F354*$G354*$H354*Baseline!D$57/References!$C$28</f>
        <v>0</v>
      </c>
      <c r="M354" s="145">
        <f>$F354*$G354*$I354*Baseline!E$57/References!$C$29</f>
        <v>0</v>
      </c>
      <c r="N354" s="145">
        <f>$F354*$G354*$J354*Baseline!F$57/References!$C$30</f>
        <v>0</v>
      </c>
      <c r="O354" s="145">
        <f>((L354*References!$C$28)+(Opportunities!M354*References!$C$29)+(Opportunities!N354*References!$C$30))/1000</f>
        <v>0</v>
      </c>
      <c r="P354" s="38">
        <f>O354*K354</f>
        <v>0</v>
      </c>
      <c r="Q354" s="38">
        <f>((L354*References!$C$60)+(Opportunities!M354*References!$C$61)+(Opportunities!N354*References!$C$62))/100</f>
        <v>0</v>
      </c>
      <c r="R354" s="35">
        <f>IF(ISERROR(P354/Q354),0,P354/Q354)</f>
        <v>0</v>
      </c>
      <c r="S354" s="185">
        <f>O354/'Graphs&amp;Analysis'!$D$24</f>
        <v>0</v>
      </c>
      <c r="T354" s="153"/>
      <c r="U354" s="153"/>
      <c r="W354" s="13" t="str">
        <f t="shared" ref="W354:W363" si="50">IF(O354&gt;0,IF(N354&gt;0,"Air", "Road"),"")</f>
        <v/>
      </c>
    </row>
    <row r="355" spans="1:23" ht="25.5">
      <c r="A355" s="13" t="str">
        <f>IF(T355="YES",MAX($A$12:A354)+1,"")</f>
        <v/>
      </c>
      <c r="B355" s="20"/>
      <c r="C355" s="5" t="str">
        <f>C354</f>
        <v>Transport Category 3</v>
      </c>
      <c r="D355" s="5"/>
      <c r="E355" s="5" t="s">
        <v>60</v>
      </c>
      <c r="F355" s="152"/>
      <c r="G355" s="152"/>
      <c r="H355" s="6">
        <v>0.5</v>
      </c>
      <c r="I355" s="6">
        <v>0.5</v>
      </c>
      <c r="J355" s="6">
        <v>0.5</v>
      </c>
      <c r="K355" s="29">
        <v>500</v>
      </c>
      <c r="L355" s="145">
        <f>$F355*$G355*$H355*Baseline!D$57/References!$C$28</f>
        <v>0</v>
      </c>
      <c r="M355" s="145">
        <f>$F355*$G355*$I355*Baseline!E$57/References!$C$29</f>
        <v>0</v>
      </c>
      <c r="N355" s="145">
        <f>$F355*$G355*$J355*Baseline!F$57/References!$C$30</f>
        <v>0</v>
      </c>
      <c r="O355" s="145">
        <f>((L355*References!$C$28)+(Opportunities!M355*References!$C$29)+(Opportunities!N355*References!$C$30))/1000</f>
        <v>0</v>
      </c>
      <c r="P355" s="38">
        <f t="shared" ref="P355:P360" si="51">O355*K355</f>
        <v>0</v>
      </c>
      <c r="Q355" s="38">
        <f>((L355*References!$C$60)+(Opportunities!M355*References!$C$61)+(Opportunities!N355*References!$C$62))/100</f>
        <v>0</v>
      </c>
      <c r="R355" s="35">
        <f t="shared" ref="R355:R363" si="52">IF(ISERROR(P355/Q355),0,P355/Q355)</f>
        <v>0</v>
      </c>
      <c r="S355" s="36">
        <f>O355/'Graphs&amp;Analysis'!$D$24</f>
        <v>0</v>
      </c>
      <c r="T355" s="153"/>
      <c r="U355" s="153"/>
      <c r="W355" s="13" t="str">
        <f t="shared" si="50"/>
        <v/>
      </c>
    </row>
    <row r="356" spans="1:23" ht="25.5">
      <c r="A356" s="13" t="str">
        <f>IF(T356="YES",MAX($A$12:A355)+1,"")</f>
        <v/>
      </c>
      <c r="B356" s="20"/>
      <c r="C356" s="5" t="str">
        <f t="shared" ref="C356:C363" si="53">C355</f>
        <v>Transport Category 3</v>
      </c>
      <c r="D356" s="5"/>
      <c r="E356" s="5" t="s">
        <v>61</v>
      </c>
      <c r="F356" s="152"/>
      <c r="G356" s="152"/>
      <c r="H356" s="6"/>
      <c r="I356" s="6">
        <v>0.05</v>
      </c>
      <c r="J356" s="6"/>
      <c r="K356" s="29">
        <v>500</v>
      </c>
      <c r="L356" s="145">
        <f>$F356*$G356*$H356*Baseline!D$57/References!$C$28</f>
        <v>0</v>
      </c>
      <c r="M356" s="145">
        <f>$F356*$G356*$I356*Baseline!E$57/References!$C$29</f>
        <v>0</v>
      </c>
      <c r="N356" s="145">
        <f>$F356*$G356*$J356*Baseline!F$57/References!$C$30</f>
        <v>0</v>
      </c>
      <c r="O356" s="145">
        <f>((L356*References!$C$28)+(Opportunities!M356*References!$C$29)+(Opportunities!N356*References!$C$30))/1000</f>
        <v>0</v>
      </c>
      <c r="P356" s="38">
        <f t="shared" si="51"/>
        <v>0</v>
      </c>
      <c r="Q356" s="38">
        <f>((L356*References!$C$60)+(Opportunities!M356*References!$C$61)+(Opportunities!N356*References!$C$62))/100</f>
        <v>0</v>
      </c>
      <c r="R356" s="35">
        <f t="shared" si="52"/>
        <v>0</v>
      </c>
      <c r="S356" s="36">
        <f>O356/'Graphs&amp;Analysis'!$D$24</f>
        <v>0</v>
      </c>
      <c r="T356" s="153"/>
      <c r="U356" s="153"/>
      <c r="W356" s="13" t="str">
        <f t="shared" si="50"/>
        <v/>
      </c>
    </row>
    <row r="357" spans="1:23">
      <c r="A357" s="13" t="str">
        <f>IF(T357="YES",MAX($A$12:A356)+1,"")</f>
        <v/>
      </c>
      <c r="B357" s="20"/>
      <c r="C357" s="5" t="str">
        <f t="shared" si="53"/>
        <v>Transport Category 3</v>
      </c>
      <c r="D357" s="5"/>
      <c r="E357" s="5" t="s">
        <v>62</v>
      </c>
      <c r="F357" s="152"/>
      <c r="G357" s="152"/>
      <c r="H357" s="6">
        <v>0.1</v>
      </c>
      <c r="I357" s="6">
        <v>0.1</v>
      </c>
      <c r="J357" s="6">
        <v>0.1</v>
      </c>
      <c r="K357" s="29">
        <v>500</v>
      </c>
      <c r="L357" s="145">
        <f>$F357*$G357*$H357*Baseline!D$57/References!$C$28</f>
        <v>0</v>
      </c>
      <c r="M357" s="145">
        <f>$F357*$G357*$I357*Baseline!E$57/References!$C$29</f>
        <v>0</v>
      </c>
      <c r="N357" s="145">
        <f>$F357*$G357*$J357*Baseline!F$57/References!$C$30</f>
        <v>0</v>
      </c>
      <c r="O357" s="145">
        <f>((L357*References!$C$28)+(Opportunities!M357*References!$C$29)+(Opportunities!N357*References!$C$30))/1000</f>
        <v>0</v>
      </c>
      <c r="P357" s="38">
        <f t="shared" si="51"/>
        <v>0</v>
      </c>
      <c r="Q357" s="38">
        <f>((L357*References!$C$60)+(Opportunities!M357*References!$C$61)+(Opportunities!N357*References!$C$62))/100</f>
        <v>0</v>
      </c>
      <c r="R357" s="35">
        <f t="shared" si="52"/>
        <v>0</v>
      </c>
      <c r="S357" s="36">
        <f>O357/'Graphs&amp;Analysis'!$D$24</f>
        <v>0</v>
      </c>
      <c r="T357" s="153"/>
      <c r="U357" s="153"/>
      <c r="W357" s="13" t="str">
        <f t="shared" si="50"/>
        <v/>
      </c>
    </row>
    <row r="358" spans="1:23" ht="25.5">
      <c r="A358" s="13" t="str">
        <f>IF(T358="YES",MAX($A$12:A357)+1,"")</f>
        <v/>
      </c>
      <c r="B358" s="20"/>
      <c r="C358" s="5" t="str">
        <f t="shared" si="53"/>
        <v>Transport Category 3</v>
      </c>
      <c r="D358" s="5"/>
      <c r="E358" s="5" t="s">
        <v>63</v>
      </c>
      <c r="F358" s="152"/>
      <c r="G358" s="152"/>
      <c r="H358" s="6">
        <v>0.1</v>
      </c>
      <c r="I358" s="6">
        <v>0.1</v>
      </c>
      <c r="J358" s="6">
        <v>0.1</v>
      </c>
      <c r="K358" s="29">
        <v>500</v>
      </c>
      <c r="L358" s="145">
        <f>$F358*$G358*$H358*Baseline!D$57/References!$C$28</f>
        <v>0</v>
      </c>
      <c r="M358" s="145">
        <f>$F358*$G358*$I358*Baseline!E$57/References!$C$29</f>
        <v>0</v>
      </c>
      <c r="N358" s="145">
        <f>$F358*$G358*$J358*Baseline!F$57/References!$C$30</f>
        <v>0</v>
      </c>
      <c r="O358" s="145">
        <f>((L358*References!$C$28)+(Opportunities!M358*References!$C$29)+(Opportunities!N358*References!$C$30))/1000</f>
        <v>0</v>
      </c>
      <c r="P358" s="38">
        <f t="shared" si="51"/>
        <v>0</v>
      </c>
      <c r="Q358" s="38">
        <f>((L358*References!$C$60)+(Opportunities!M358*References!$C$61)+(Opportunities!N358*References!$C$62))/100</f>
        <v>0</v>
      </c>
      <c r="R358" s="35">
        <f t="shared" si="52"/>
        <v>0</v>
      </c>
      <c r="S358" s="36">
        <f>O358/'Graphs&amp;Analysis'!$D$24</f>
        <v>0</v>
      </c>
      <c r="T358" s="153"/>
      <c r="U358" s="153"/>
      <c r="W358" s="13" t="str">
        <f t="shared" si="50"/>
        <v/>
      </c>
    </row>
    <row r="359" spans="1:23">
      <c r="A359" s="13" t="str">
        <f>IF(T359="YES",MAX($A$12:A358)+1,"")</f>
        <v/>
      </c>
      <c r="B359" s="20"/>
      <c r="C359" s="5" t="str">
        <f t="shared" si="53"/>
        <v>Transport Category 3</v>
      </c>
      <c r="D359" s="5"/>
      <c r="E359" s="5" t="s">
        <v>52</v>
      </c>
      <c r="F359" s="152"/>
      <c r="G359" s="152"/>
      <c r="H359" s="6"/>
      <c r="I359" s="6"/>
      <c r="J359" s="6"/>
      <c r="K359" s="29">
        <v>500</v>
      </c>
      <c r="L359" s="145">
        <f>$F359*$G359*$H359*Baseline!D$57/References!$C$28</f>
        <v>0</v>
      </c>
      <c r="M359" s="145">
        <f>$F359*$G359*$I359*Baseline!E$57/References!$C$29</f>
        <v>0</v>
      </c>
      <c r="N359" s="145">
        <f>$F359*$G359*$J359*Baseline!F$57/References!$C$30</f>
        <v>0</v>
      </c>
      <c r="O359" s="145">
        <f>((L359*References!$C$28)+(Opportunities!M359*References!$C$29)+(Opportunities!N359*References!$C$30))/1000</f>
        <v>0</v>
      </c>
      <c r="P359" s="38">
        <f t="shared" si="51"/>
        <v>0</v>
      </c>
      <c r="Q359" s="38">
        <f>((L359*References!$C$60)+(Opportunities!M359*References!$C$61)+(Opportunities!N359*References!$C$62))/100</f>
        <v>0</v>
      </c>
      <c r="R359" s="35">
        <f t="shared" si="52"/>
        <v>0</v>
      </c>
      <c r="S359" s="36">
        <f>O359/'Graphs&amp;Analysis'!$D$24</f>
        <v>0</v>
      </c>
      <c r="T359" s="153"/>
      <c r="U359" s="153"/>
      <c r="W359" s="13" t="str">
        <f t="shared" si="50"/>
        <v/>
      </c>
    </row>
    <row r="360" spans="1:23">
      <c r="A360" s="13" t="str">
        <f>IF(T360="YES",MAX($A$12:A359)+1,"")</f>
        <v/>
      </c>
      <c r="B360" s="20"/>
      <c r="C360" s="5" t="str">
        <f t="shared" si="53"/>
        <v>Transport Category 3</v>
      </c>
      <c r="D360" s="5"/>
      <c r="E360" s="5" t="s">
        <v>52</v>
      </c>
      <c r="F360" s="152"/>
      <c r="G360" s="152"/>
      <c r="H360" s="6"/>
      <c r="I360" s="6"/>
      <c r="J360" s="6"/>
      <c r="K360" s="29">
        <v>500</v>
      </c>
      <c r="L360" s="145">
        <f>$F360*$G360*$H360*Baseline!D$57/References!$C$28</f>
        <v>0</v>
      </c>
      <c r="M360" s="145">
        <f>$F360*$G360*$I360*Baseline!E$57/References!$C$29</f>
        <v>0</v>
      </c>
      <c r="N360" s="145">
        <f>$F360*$G360*$J360*Baseline!F$57/References!$C$30</f>
        <v>0</v>
      </c>
      <c r="O360" s="145">
        <f>((L360*References!$C$28)+(Opportunities!M360*References!$C$29)+(Opportunities!N360*References!$C$30))/1000</f>
        <v>0</v>
      </c>
      <c r="P360" s="38">
        <f t="shared" si="51"/>
        <v>0</v>
      </c>
      <c r="Q360" s="38">
        <f>((L360*References!$C$60)+(Opportunities!M360*References!$C$61)+(Opportunities!N360*References!$C$62))/100</f>
        <v>0</v>
      </c>
      <c r="R360" s="35">
        <f t="shared" si="52"/>
        <v>0</v>
      </c>
      <c r="S360" s="36">
        <f>O360/'Graphs&amp;Analysis'!$D$24</f>
        <v>0</v>
      </c>
      <c r="T360" s="153"/>
      <c r="U360" s="153"/>
      <c r="W360" s="13" t="str">
        <f t="shared" si="50"/>
        <v/>
      </c>
    </row>
    <row r="361" spans="1:23">
      <c r="A361" s="13" t="str">
        <f>IF(T361="YES",MAX($A$12:A360)+1,"")</f>
        <v/>
      </c>
      <c r="B361" s="20"/>
      <c r="C361" s="5" t="str">
        <f t="shared" si="53"/>
        <v>Transport Category 3</v>
      </c>
      <c r="D361" s="5"/>
      <c r="E361" s="5" t="s">
        <v>52</v>
      </c>
      <c r="F361" s="152"/>
      <c r="G361" s="152"/>
      <c r="H361" s="6"/>
      <c r="I361" s="6"/>
      <c r="J361" s="6"/>
      <c r="K361" s="29">
        <v>500</v>
      </c>
      <c r="L361" s="145">
        <f>$F361*$G361*$H361*Baseline!D$57/References!$C$28</f>
        <v>0</v>
      </c>
      <c r="M361" s="145">
        <f>$F361*$G361*$I361*Baseline!E$57/References!$C$29</f>
        <v>0</v>
      </c>
      <c r="N361" s="145">
        <f>$F361*$G361*$J361*Baseline!F$57/References!$C$30</f>
        <v>0</v>
      </c>
      <c r="O361" s="145">
        <f>((L361*References!$C$28)+(Opportunities!M361*References!$C$29)+(Opportunities!N361*References!$C$30))/1000</f>
        <v>0</v>
      </c>
      <c r="P361" s="38">
        <f>O361*K361</f>
        <v>0</v>
      </c>
      <c r="Q361" s="38">
        <f>((L361*References!$C$60)+(Opportunities!M361*References!$C$61)+(Opportunities!N361*References!$C$62))/100</f>
        <v>0</v>
      </c>
      <c r="R361" s="35">
        <f t="shared" si="52"/>
        <v>0</v>
      </c>
      <c r="S361" s="36">
        <f>O361/'Graphs&amp;Analysis'!$D$24</f>
        <v>0</v>
      </c>
      <c r="T361" s="153"/>
      <c r="U361" s="153"/>
      <c r="W361" s="13" t="str">
        <f t="shared" si="50"/>
        <v/>
      </c>
    </row>
    <row r="362" spans="1:23">
      <c r="A362" s="13" t="str">
        <f>IF(T362="YES",MAX($A$12:A361)+1,"")</f>
        <v/>
      </c>
      <c r="B362" s="20"/>
      <c r="C362" s="5" t="str">
        <f t="shared" si="53"/>
        <v>Transport Category 3</v>
      </c>
      <c r="D362" s="5"/>
      <c r="E362" s="5" t="s">
        <v>52</v>
      </c>
      <c r="F362" s="152"/>
      <c r="G362" s="152"/>
      <c r="H362" s="6"/>
      <c r="I362" s="6"/>
      <c r="J362" s="6"/>
      <c r="K362" s="29">
        <v>500</v>
      </c>
      <c r="L362" s="145">
        <f>$F362*$G362*$H362*Baseline!D$57/References!$C$28</f>
        <v>0</v>
      </c>
      <c r="M362" s="145">
        <f>$F362*$G362*$I362*Baseline!E$57/References!$C$29</f>
        <v>0</v>
      </c>
      <c r="N362" s="145">
        <f>$F362*$G362*$J362*Baseline!F$57/References!$C$30</f>
        <v>0</v>
      </c>
      <c r="O362" s="145">
        <f>((L362*References!$C$28)+(Opportunities!M362*References!$C$29)+(Opportunities!N362*References!$C$30))/1000</f>
        <v>0</v>
      </c>
      <c r="P362" s="38">
        <f>O362*K362</f>
        <v>0</v>
      </c>
      <c r="Q362" s="38">
        <f>((L362*References!$C$60)+(Opportunities!M362*References!$C$61)+(Opportunities!N362*References!$C$62))/100</f>
        <v>0</v>
      </c>
      <c r="R362" s="35">
        <f t="shared" si="52"/>
        <v>0</v>
      </c>
      <c r="S362" s="36">
        <f>O362/'Graphs&amp;Analysis'!$D$24</f>
        <v>0</v>
      </c>
      <c r="T362" s="153"/>
      <c r="U362" s="153"/>
      <c r="W362" s="13" t="str">
        <f t="shared" si="50"/>
        <v/>
      </c>
    </row>
    <row r="363" spans="1:23">
      <c r="A363" s="13" t="str">
        <f>IF(T363="YES",MAX($A$12:A362)+1,"")</f>
        <v/>
      </c>
      <c r="B363" s="20"/>
      <c r="C363" s="5" t="str">
        <f t="shared" si="53"/>
        <v>Transport Category 3</v>
      </c>
      <c r="D363" s="5"/>
      <c r="E363" s="5" t="s">
        <v>52</v>
      </c>
      <c r="F363" s="152"/>
      <c r="G363" s="152"/>
      <c r="H363" s="6"/>
      <c r="I363" s="6"/>
      <c r="J363" s="6"/>
      <c r="K363" s="29">
        <v>500</v>
      </c>
      <c r="L363" s="145">
        <f>$F363*$G363*$H363*Baseline!D$57/References!$C$28</f>
        <v>0</v>
      </c>
      <c r="M363" s="145">
        <f>$F363*$G363*$I363*Baseline!E$57/References!$C$29</f>
        <v>0</v>
      </c>
      <c r="N363" s="145">
        <f>$F363*$G363*$J363*Baseline!F$57/References!$C$30</f>
        <v>0</v>
      </c>
      <c r="O363" s="145">
        <f>((L363*References!$C$28)+(Opportunities!M363*References!$C$29)+(Opportunities!N363*References!$C$30))/1000</f>
        <v>0</v>
      </c>
      <c r="P363" s="38">
        <f>O363*K363</f>
        <v>0</v>
      </c>
      <c r="Q363" s="38">
        <f>((L363*References!$C$60)+(Opportunities!M363*References!$C$61)+(Opportunities!N363*References!$C$62))/100</f>
        <v>0</v>
      </c>
      <c r="R363" s="35">
        <f t="shared" si="52"/>
        <v>0</v>
      </c>
      <c r="S363" s="36">
        <f>O363/'Graphs&amp;Analysis'!$D$24</f>
        <v>0</v>
      </c>
      <c r="T363" s="153"/>
      <c r="U363" s="153"/>
      <c r="W363" s="13" t="str">
        <f t="shared" si="50"/>
        <v/>
      </c>
    </row>
    <row r="364" spans="1:23">
      <c r="A364" s="13" t="str">
        <f>IF(T364="YES",MAX($A$12:A363)+1,"")</f>
        <v/>
      </c>
      <c r="C364" s="23"/>
      <c r="D364" s="23"/>
      <c r="E364" s="79"/>
      <c r="F364" s="23"/>
      <c r="G364" s="23"/>
      <c r="H364" s="79"/>
      <c r="I364" s="74"/>
      <c r="J364" s="23"/>
      <c r="K364" s="23"/>
      <c r="L364" s="23"/>
      <c r="M364" s="23"/>
      <c r="N364" s="23"/>
      <c r="O364" s="23"/>
      <c r="P364" s="23"/>
      <c r="Q364" s="23"/>
      <c r="R364" s="23"/>
      <c r="S364" s="23"/>
      <c r="T364" s="23"/>
      <c r="U364" s="23"/>
    </row>
    <row r="365" spans="1:23">
      <c r="A365" s="13" t="str">
        <f>IF(T365="YES",MAX($A$12:A364)+1,"")</f>
        <v/>
      </c>
      <c r="B365" s="252" t="s">
        <v>128</v>
      </c>
      <c r="C365" s="252"/>
      <c r="D365" s="71"/>
      <c r="H365" s="16"/>
      <c r="I365" s="67"/>
      <c r="K365" s="68"/>
      <c r="L365" s="68"/>
      <c r="M365" s="68"/>
      <c r="N365" s="68" t="s">
        <v>3</v>
      </c>
      <c r="O365" s="69">
        <f>SUM(O354:O363)</f>
        <v>0</v>
      </c>
      <c r="P365" s="69"/>
    </row>
    <row r="366" spans="1:23">
      <c r="A366" s="13" t="str">
        <f>IF(T366="YES",MAX($A$12:A365)+1,"")</f>
        <v/>
      </c>
      <c r="H366" s="16"/>
      <c r="I366" s="67"/>
      <c r="K366" s="68"/>
      <c r="L366" s="68"/>
      <c r="M366" s="68"/>
      <c r="N366" s="68" t="str">
        <f>CONCATENATE("Savings as a % of  ",C354," emissions")</f>
        <v>Savings as a % of  Transport Category 3 emissions</v>
      </c>
      <c r="O366" s="186" t="e">
        <f>O365/Baseline!$G$65</f>
        <v>#DIV/0!</v>
      </c>
    </row>
    <row r="367" spans="1:23">
      <c r="A367" s="13" t="str">
        <f>IF(T367="YES",MAX($A$12:A366)+1,"")</f>
        <v/>
      </c>
    </row>
    <row r="368" spans="1:23">
      <c r="A368" s="13" t="str">
        <f>IF(T368="YES",MAX($A$12:A367)+1,"")</f>
        <v/>
      </c>
    </row>
    <row r="369" spans="1:23" ht="18">
      <c r="A369" s="13" t="str">
        <f>IF(T369="YES",MAX($A$12:A368)+1,"")</f>
        <v/>
      </c>
      <c r="B369" s="187"/>
      <c r="C369" s="188" t="s">
        <v>199</v>
      </c>
      <c r="D369" s="176"/>
      <c r="E369" s="238"/>
      <c r="F369" s="176"/>
      <c r="G369" s="176"/>
      <c r="H369" s="176"/>
      <c r="I369" s="176"/>
      <c r="J369" s="176"/>
      <c r="K369" s="176"/>
      <c r="L369" s="176"/>
      <c r="M369" s="176"/>
      <c r="N369" s="176"/>
      <c r="O369" s="176"/>
      <c r="P369" s="176"/>
      <c r="Q369" s="176"/>
      <c r="R369" s="176"/>
      <c r="S369" s="176"/>
      <c r="T369" s="176"/>
      <c r="U369" s="176"/>
      <c r="V369" s="182"/>
    </row>
    <row r="370" spans="1:23">
      <c r="A370" s="13" t="str">
        <f>IF(T370="YES",MAX($A$12:A369)+1,"")</f>
        <v/>
      </c>
      <c r="B370" s="20"/>
      <c r="C370" s="248" t="s">
        <v>151</v>
      </c>
      <c r="D370" s="250"/>
      <c r="E370" s="248" t="s">
        <v>59</v>
      </c>
      <c r="F370" s="248" t="s">
        <v>7</v>
      </c>
      <c r="G370" s="248" t="s">
        <v>8</v>
      </c>
      <c r="H370" s="256" t="s">
        <v>58</v>
      </c>
      <c r="I370" s="257"/>
      <c r="J370" s="258"/>
      <c r="K370" s="250" t="s">
        <v>109</v>
      </c>
      <c r="L370" s="248" t="s">
        <v>213</v>
      </c>
      <c r="M370" s="248" t="s">
        <v>214</v>
      </c>
      <c r="N370" s="248" t="s">
        <v>215</v>
      </c>
      <c r="O370" s="249" t="s">
        <v>14</v>
      </c>
      <c r="P370" s="248" t="s">
        <v>108</v>
      </c>
      <c r="Q370" s="248" t="s">
        <v>111</v>
      </c>
      <c r="R370" s="248" t="s">
        <v>150</v>
      </c>
      <c r="S370" s="248" t="s">
        <v>77</v>
      </c>
      <c r="T370" s="248" t="s">
        <v>110</v>
      </c>
      <c r="U370" s="248" t="s">
        <v>160</v>
      </c>
    </row>
    <row r="371" spans="1:23" ht="44.25" customHeight="1">
      <c r="A371" s="13" t="str">
        <f>IF(T371="YES",MAX($A$12:A370)+1,"")</f>
        <v/>
      </c>
      <c r="B371" s="20"/>
      <c r="C371" s="248"/>
      <c r="D371" s="251"/>
      <c r="E371" s="248"/>
      <c r="F371" s="248"/>
      <c r="G371" s="248"/>
      <c r="H371" s="10" t="s">
        <v>118</v>
      </c>
      <c r="I371" s="10" t="s">
        <v>119</v>
      </c>
      <c r="J371" s="10" t="s">
        <v>204</v>
      </c>
      <c r="K371" s="251"/>
      <c r="L371" s="248"/>
      <c r="M371" s="248"/>
      <c r="N371" s="248"/>
      <c r="O371" s="249"/>
      <c r="P371" s="248"/>
      <c r="Q371" s="248"/>
      <c r="R371" s="248"/>
      <c r="S371" s="248"/>
      <c r="T371" s="248"/>
      <c r="U371" s="248"/>
    </row>
    <row r="372" spans="1:23">
      <c r="A372" s="13" t="str">
        <f>IF(T372="YES",MAX($A$12:A371)+1,"")</f>
        <v/>
      </c>
      <c r="B372" s="20"/>
      <c r="C372" s="5" t="str">
        <f>Baseline!C58</f>
        <v>Transport Category 4</v>
      </c>
      <c r="D372" s="5"/>
      <c r="E372" s="5" t="s">
        <v>158</v>
      </c>
      <c r="F372" s="152"/>
      <c r="G372" s="152"/>
      <c r="H372" s="6">
        <v>0.1</v>
      </c>
      <c r="I372" s="6">
        <v>0.1</v>
      </c>
      <c r="J372" s="6">
        <v>0.1</v>
      </c>
      <c r="K372" s="29">
        <v>500</v>
      </c>
      <c r="L372" s="145">
        <f>$F372*$G372*$H372*Baseline!D$58/References!$C$28</f>
        <v>0</v>
      </c>
      <c r="M372" s="145">
        <f>$F372*$G372*$I372*Baseline!E$58/References!$C$29</f>
        <v>0</v>
      </c>
      <c r="N372" s="145">
        <f>$F372*$G372*$J372*Baseline!F$59/References!$C$30</f>
        <v>0</v>
      </c>
      <c r="O372" s="145">
        <f>((L372*References!$C$28)+(Opportunities!M372*References!$C$29)+(Opportunities!N372*References!$C$30))/1000</f>
        <v>0</v>
      </c>
      <c r="P372" s="38">
        <f>O372*K372</f>
        <v>0</v>
      </c>
      <c r="Q372" s="38">
        <f>((L372*References!$C$60)+(Opportunities!M372*References!$C$61)+(Opportunities!N372*References!$C$62))/100</f>
        <v>0</v>
      </c>
      <c r="R372" s="35">
        <f>IF(ISERROR(P372/Q372),0,P372/Q372)</f>
        <v>0</v>
      </c>
      <c r="S372" s="185">
        <f>O372/'Graphs&amp;Analysis'!$D$24</f>
        <v>0</v>
      </c>
      <c r="T372" s="153"/>
      <c r="U372" s="153"/>
      <c r="W372" s="13" t="str">
        <f t="shared" ref="W372:W381" si="54">IF(O372&gt;0,IF(N372&gt;0,"Air", "Road"),"")</f>
        <v/>
      </c>
    </row>
    <row r="373" spans="1:23" ht="25.5">
      <c r="A373" s="13" t="str">
        <f>IF(T373="YES",MAX($A$12:A372)+1,"")</f>
        <v/>
      </c>
      <c r="B373" s="20"/>
      <c r="C373" s="5" t="str">
        <f>C372</f>
        <v>Transport Category 4</v>
      </c>
      <c r="D373" s="5"/>
      <c r="E373" s="5" t="s">
        <v>60</v>
      </c>
      <c r="F373" s="152"/>
      <c r="G373" s="152"/>
      <c r="H373" s="6">
        <v>0.5</v>
      </c>
      <c r="I373" s="6">
        <v>0.5</v>
      </c>
      <c r="J373" s="6">
        <v>0.5</v>
      </c>
      <c r="K373" s="29">
        <v>500</v>
      </c>
      <c r="L373" s="145">
        <f>$F373*$G373*$H373*Baseline!D$58/References!$C$28</f>
        <v>0</v>
      </c>
      <c r="M373" s="145">
        <f>$F373*$G373*$I373*Baseline!E$58/References!$C$29</f>
        <v>0</v>
      </c>
      <c r="N373" s="145">
        <f>$F373*$G373*$J373*Baseline!F$59/References!$C$30</f>
        <v>0</v>
      </c>
      <c r="O373" s="145">
        <f>((L373*References!$C$28)+(Opportunities!M373*References!$C$29)+(Opportunities!N373*References!$C$30))/1000</f>
        <v>0</v>
      </c>
      <c r="P373" s="38">
        <f t="shared" ref="P373:P378" si="55">O373*K373</f>
        <v>0</v>
      </c>
      <c r="Q373" s="38">
        <f>((L373*References!$C$60)+(Opportunities!M373*References!$C$61)+(Opportunities!N373*References!$C$62))/100</f>
        <v>0</v>
      </c>
      <c r="R373" s="35">
        <f t="shared" ref="R373:R381" si="56">IF(ISERROR(P373/Q373),0,P373/Q373)</f>
        <v>0</v>
      </c>
      <c r="S373" s="36">
        <f>O373/'Graphs&amp;Analysis'!$D$24</f>
        <v>0</v>
      </c>
      <c r="T373" s="153"/>
      <c r="U373" s="153"/>
      <c r="W373" s="13" t="str">
        <f t="shared" si="54"/>
        <v/>
      </c>
    </row>
    <row r="374" spans="1:23" ht="25.5">
      <c r="A374" s="13" t="str">
        <f>IF(T374="YES",MAX($A$12:A373)+1,"")</f>
        <v/>
      </c>
      <c r="B374" s="20"/>
      <c r="C374" s="5" t="str">
        <f t="shared" ref="C374:C381" si="57">C373</f>
        <v>Transport Category 4</v>
      </c>
      <c r="D374" s="5"/>
      <c r="E374" s="5" t="s">
        <v>61</v>
      </c>
      <c r="F374" s="152"/>
      <c r="G374" s="152"/>
      <c r="H374" s="6"/>
      <c r="I374" s="6">
        <v>0.05</v>
      </c>
      <c r="J374" s="6"/>
      <c r="K374" s="29">
        <v>500</v>
      </c>
      <c r="L374" s="145">
        <f>$F374*$G374*$H374*Baseline!D$58/References!$C$28</f>
        <v>0</v>
      </c>
      <c r="M374" s="145">
        <f>$F374*$G374*$I374*Baseline!E$58/References!$C$29</f>
        <v>0</v>
      </c>
      <c r="N374" s="145">
        <f>$F374*$G374*$J374*Baseline!F$59/References!$C$30</f>
        <v>0</v>
      </c>
      <c r="O374" s="145">
        <f>((L374*References!$C$28)+(Opportunities!M374*References!$C$29)+(Opportunities!N374*References!$C$30))/1000</f>
        <v>0</v>
      </c>
      <c r="P374" s="38">
        <f t="shared" si="55"/>
        <v>0</v>
      </c>
      <c r="Q374" s="38">
        <f>((L374*References!$C$60)+(Opportunities!M374*References!$C$61)+(Opportunities!N374*References!$C$62))/100</f>
        <v>0</v>
      </c>
      <c r="R374" s="35">
        <f t="shared" si="56"/>
        <v>0</v>
      </c>
      <c r="S374" s="36">
        <f>O374/'Graphs&amp;Analysis'!$D$24</f>
        <v>0</v>
      </c>
      <c r="T374" s="153"/>
      <c r="U374" s="153"/>
      <c r="W374" s="13" t="str">
        <f t="shared" si="54"/>
        <v/>
      </c>
    </row>
    <row r="375" spans="1:23">
      <c r="A375" s="13" t="str">
        <f>IF(T375="YES",MAX($A$12:A374)+1,"")</f>
        <v/>
      </c>
      <c r="B375" s="20"/>
      <c r="C375" s="5" t="str">
        <f t="shared" si="57"/>
        <v>Transport Category 4</v>
      </c>
      <c r="D375" s="5"/>
      <c r="E375" s="5" t="s">
        <v>62</v>
      </c>
      <c r="F375" s="152"/>
      <c r="G375" s="152"/>
      <c r="H375" s="6">
        <v>0.1</v>
      </c>
      <c r="I375" s="6">
        <v>0.1</v>
      </c>
      <c r="J375" s="6">
        <v>0.1</v>
      </c>
      <c r="K375" s="29">
        <v>500</v>
      </c>
      <c r="L375" s="145">
        <f>$F375*$G375*$H375*Baseline!D$58/References!$C$28</f>
        <v>0</v>
      </c>
      <c r="M375" s="145">
        <f>$F375*$G375*$I375*Baseline!E$58/References!$C$29</f>
        <v>0</v>
      </c>
      <c r="N375" s="145">
        <f>$F375*$G375*$J375*Baseline!F$59/References!$C$30</f>
        <v>0</v>
      </c>
      <c r="O375" s="145">
        <f>((L375*References!$C$28)+(Opportunities!M375*References!$C$29)+(Opportunities!N375*References!$C$30))/1000</f>
        <v>0</v>
      </c>
      <c r="P375" s="38">
        <f t="shared" si="55"/>
        <v>0</v>
      </c>
      <c r="Q375" s="38">
        <f>((L375*References!$C$60)+(Opportunities!M375*References!$C$61)+(Opportunities!N375*References!$C$62))/100</f>
        <v>0</v>
      </c>
      <c r="R375" s="35">
        <f t="shared" si="56"/>
        <v>0</v>
      </c>
      <c r="S375" s="36">
        <f>O375/'Graphs&amp;Analysis'!$D$24</f>
        <v>0</v>
      </c>
      <c r="T375" s="153"/>
      <c r="U375" s="153"/>
      <c r="W375" s="13" t="str">
        <f t="shared" si="54"/>
        <v/>
      </c>
    </row>
    <row r="376" spans="1:23" ht="25.5">
      <c r="A376" s="13" t="str">
        <f>IF(T376="YES",MAX($A$12:A375)+1,"")</f>
        <v/>
      </c>
      <c r="B376" s="20"/>
      <c r="C376" s="5" t="str">
        <f t="shared" si="57"/>
        <v>Transport Category 4</v>
      </c>
      <c r="D376" s="5"/>
      <c r="E376" s="5" t="s">
        <v>63</v>
      </c>
      <c r="F376" s="152"/>
      <c r="G376" s="152"/>
      <c r="H376" s="6">
        <v>0.1</v>
      </c>
      <c r="I376" s="6">
        <v>0.1</v>
      </c>
      <c r="J376" s="6">
        <v>0.1</v>
      </c>
      <c r="K376" s="29">
        <v>500</v>
      </c>
      <c r="L376" s="145">
        <f>$F376*$G376*$H376*Baseline!D$58/References!$C$28</f>
        <v>0</v>
      </c>
      <c r="M376" s="145">
        <f>$F376*$G376*$I376*Baseline!E$58/References!$C$29</f>
        <v>0</v>
      </c>
      <c r="N376" s="145">
        <f>$F376*$G376*$J376*Baseline!F$59/References!$C$30</f>
        <v>0</v>
      </c>
      <c r="O376" s="145">
        <f>((L376*References!$C$28)+(Opportunities!M376*References!$C$29)+(Opportunities!N376*References!$C$30))/1000</f>
        <v>0</v>
      </c>
      <c r="P376" s="38">
        <f t="shared" si="55"/>
        <v>0</v>
      </c>
      <c r="Q376" s="38">
        <f>((L376*References!$C$60)+(Opportunities!M376*References!$C$61)+(Opportunities!N376*References!$C$62))/100</f>
        <v>0</v>
      </c>
      <c r="R376" s="35">
        <f t="shared" si="56"/>
        <v>0</v>
      </c>
      <c r="S376" s="36">
        <f>O376/'Graphs&amp;Analysis'!$D$24</f>
        <v>0</v>
      </c>
      <c r="T376" s="153"/>
      <c r="U376" s="153"/>
      <c r="W376" s="13" t="str">
        <f t="shared" si="54"/>
        <v/>
      </c>
    </row>
    <row r="377" spans="1:23">
      <c r="A377" s="13" t="str">
        <f>IF(T377="YES",MAX($A$12:A376)+1,"")</f>
        <v/>
      </c>
      <c r="B377" s="20"/>
      <c r="C377" s="5" t="str">
        <f t="shared" si="57"/>
        <v>Transport Category 4</v>
      </c>
      <c r="D377" s="5"/>
      <c r="E377" s="5" t="s">
        <v>52</v>
      </c>
      <c r="F377" s="152"/>
      <c r="G377" s="152"/>
      <c r="H377" s="6"/>
      <c r="I377" s="6"/>
      <c r="J377" s="6"/>
      <c r="K377" s="29">
        <v>500</v>
      </c>
      <c r="L377" s="145">
        <f>$F377*$G377*$H377*Baseline!D$58/References!$C$28</f>
        <v>0</v>
      </c>
      <c r="M377" s="145">
        <f>$F377*$G377*$I377*Baseline!E$58/References!$C$29</f>
        <v>0</v>
      </c>
      <c r="N377" s="145">
        <f>$F377*$G377*$J377*Baseline!F$59/References!$C$30</f>
        <v>0</v>
      </c>
      <c r="O377" s="145">
        <f>((L377*References!$C$28)+(Opportunities!M377*References!$C$29)+(Opportunities!N377*References!$C$30))/1000</f>
        <v>0</v>
      </c>
      <c r="P377" s="38">
        <f t="shared" si="55"/>
        <v>0</v>
      </c>
      <c r="Q377" s="38">
        <f>((L377*References!$C$60)+(Opportunities!M377*References!$C$61)+(Opportunities!N377*References!$C$62))/100</f>
        <v>0</v>
      </c>
      <c r="R377" s="35">
        <f t="shared" si="56"/>
        <v>0</v>
      </c>
      <c r="S377" s="36">
        <f>O377/'Graphs&amp;Analysis'!$D$24</f>
        <v>0</v>
      </c>
      <c r="T377" s="153"/>
      <c r="U377" s="153"/>
      <c r="W377" s="13" t="str">
        <f t="shared" si="54"/>
        <v/>
      </c>
    </row>
    <row r="378" spans="1:23">
      <c r="A378" s="13" t="str">
        <f>IF(T378="YES",MAX($A$12:A377)+1,"")</f>
        <v/>
      </c>
      <c r="B378" s="20"/>
      <c r="C378" s="5" t="str">
        <f t="shared" si="57"/>
        <v>Transport Category 4</v>
      </c>
      <c r="D378" s="5"/>
      <c r="E378" s="5" t="s">
        <v>52</v>
      </c>
      <c r="F378" s="152"/>
      <c r="G378" s="152"/>
      <c r="H378" s="6"/>
      <c r="I378" s="6"/>
      <c r="J378" s="6"/>
      <c r="K378" s="29">
        <v>500</v>
      </c>
      <c r="L378" s="145">
        <f>$F378*$G378*$H378*Baseline!D$58/References!$C$28</f>
        <v>0</v>
      </c>
      <c r="M378" s="145">
        <f>$F378*$G378*$I378*Baseline!E$58/References!$C$29</f>
        <v>0</v>
      </c>
      <c r="N378" s="145">
        <f>$F378*$G378*$J378*Baseline!F$59/References!$C$30</f>
        <v>0</v>
      </c>
      <c r="O378" s="145">
        <f>((L378*References!$C$28)+(Opportunities!M378*References!$C$29)+(Opportunities!N378*References!$C$30))/1000</f>
        <v>0</v>
      </c>
      <c r="P378" s="38">
        <f t="shared" si="55"/>
        <v>0</v>
      </c>
      <c r="Q378" s="38">
        <f>((L378*References!$C$60)+(Opportunities!M378*References!$C$61)+(Opportunities!N378*References!$C$62))/100</f>
        <v>0</v>
      </c>
      <c r="R378" s="35">
        <f t="shared" si="56"/>
        <v>0</v>
      </c>
      <c r="S378" s="36">
        <f>O378/'Graphs&amp;Analysis'!$D$24</f>
        <v>0</v>
      </c>
      <c r="T378" s="153"/>
      <c r="U378" s="153"/>
      <c r="W378" s="13" t="str">
        <f t="shared" si="54"/>
        <v/>
      </c>
    </row>
    <row r="379" spans="1:23">
      <c r="A379" s="13" t="str">
        <f>IF(T379="YES",MAX($A$12:A378)+1,"")</f>
        <v/>
      </c>
      <c r="B379" s="20"/>
      <c r="C379" s="5" t="str">
        <f t="shared" si="57"/>
        <v>Transport Category 4</v>
      </c>
      <c r="D379" s="5"/>
      <c r="E379" s="5" t="s">
        <v>52</v>
      </c>
      <c r="F379" s="152"/>
      <c r="G379" s="152"/>
      <c r="H379" s="6"/>
      <c r="I379" s="6"/>
      <c r="J379" s="6"/>
      <c r="K379" s="29">
        <v>500</v>
      </c>
      <c r="L379" s="145">
        <f>$F379*$G379*$H379*Baseline!D$58/References!$C$28</f>
        <v>0</v>
      </c>
      <c r="M379" s="145">
        <f>$F379*$G379*$I379*Baseline!E$58/References!$C$29</f>
        <v>0</v>
      </c>
      <c r="N379" s="145">
        <f>$F379*$G379*$J379*Baseline!F$59/References!$C$30</f>
        <v>0</v>
      </c>
      <c r="O379" s="145">
        <f>((L379*References!$C$28)+(Opportunities!M379*References!$C$29)+(Opportunities!N379*References!$C$30))/1000</f>
        <v>0</v>
      </c>
      <c r="P379" s="38">
        <f>O379*K379</f>
        <v>0</v>
      </c>
      <c r="Q379" s="38">
        <f>((L379*References!$C$60)+(Opportunities!M379*References!$C$61)+(Opportunities!N379*References!$C$62))/100</f>
        <v>0</v>
      </c>
      <c r="R379" s="35">
        <f t="shared" si="56"/>
        <v>0</v>
      </c>
      <c r="S379" s="36">
        <f>O379/'Graphs&amp;Analysis'!$D$24</f>
        <v>0</v>
      </c>
      <c r="T379" s="153"/>
      <c r="U379" s="153"/>
      <c r="W379" s="13" t="str">
        <f t="shared" si="54"/>
        <v/>
      </c>
    </row>
    <row r="380" spans="1:23">
      <c r="A380" s="13" t="str">
        <f>IF(T380="YES",MAX($A$12:A379)+1,"")</f>
        <v/>
      </c>
      <c r="B380" s="20"/>
      <c r="C380" s="5" t="str">
        <f t="shared" si="57"/>
        <v>Transport Category 4</v>
      </c>
      <c r="D380" s="5"/>
      <c r="E380" s="5" t="s">
        <v>52</v>
      </c>
      <c r="F380" s="152"/>
      <c r="G380" s="152"/>
      <c r="H380" s="6"/>
      <c r="I380" s="6"/>
      <c r="J380" s="6"/>
      <c r="K380" s="29">
        <v>500</v>
      </c>
      <c r="L380" s="145">
        <f>$F380*$G380*$H380*Baseline!D$58/References!$C$28</f>
        <v>0</v>
      </c>
      <c r="M380" s="145">
        <f>$F380*$G380*$I380*Baseline!E$58/References!$C$29</f>
        <v>0</v>
      </c>
      <c r="N380" s="145">
        <f>$F380*$G380*$J380*Baseline!F$59/References!$C$30</f>
        <v>0</v>
      </c>
      <c r="O380" s="145">
        <f>((L380*References!$C$28)+(Opportunities!M380*References!$C$29)+(Opportunities!N380*References!$C$30))/1000</f>
        <v>0</v>
      </c>
      <c r="P380" s="38">
        <f>O380*K380</f>
        <v>0</v>
      </c>
      <c r="Q380" s="38">
        <f>((L380*References!$C$60)+(Opportunities!M380*References!$C$61)+(Opportunities!N380*References!$C$62))/100</f>
        <v>0</v>
      </c>
      <c r="R380" s="35">
        <f t="shared" si="56"/>
        <v>0</v>
      </c>
      <c r="S380" s="36">
        <f>O380/'Graphs&amp;Analysis'!$D$24</f>
        <v>0</v>
      </c>
      <c r="T380" s="153"/>
      <c r="U380" s="153"/>
      <c r="W380" s="13" t="str">
        <f t="shared" si="54"/>
        <v/>
      </c>
    </row>
    <row r="381" spans="1:23">
      <c r="A381" s="13" t="str">
        <f>IF(T381="YES",MAX($A$12:A380)+1,"")</f>
        <v/>
      </c>
      <c r="B381" s="20"/>
      <c r="C381" s="5" t="str">
        <f t="shared" si="57"/>
        <v>Transport Category 4</v>
      </c>
      <c r="D381" s="5"/>
      <c r="E381" s="5" t="s">
        <v>52</v>
      </c>
      <c r="F381" s="152"/>
      <c r="G381" s="152"/>
      <c r="H381" s="6"/>
      <c r="I381" s="6"/>
      <c r="J381" s="6"/>
      <c r="K381" s="29">
        <v>500</v>
      </c>
      <c r="L381" s="145">
        <f>$F381*$G381*$H381*Baseline!D$58/References!$C$28</f>
        <v>0</v>
      </c>
      <c r="M381" s="145">
        <f>$F381*$G381*$I381*Baseline!E$58/References!$C$29</f>
        <v>0</v>
      </c>
      <c r="N381" s="145">
        <f>$F381*$G381*$J381*Baseline!F$59/References!$C$30</f>
        <v>0</v>
      </c>
      <c r="O381" s="145">
        <f>((L381*References!$C$28)+(Opportunities!M381*References!$C$29)+(Opportunities!N381*References!$C$30))/1000</f>
        <v>0</v>
      </c>
      <c r="P381" s="38">
        <f>O381*K381</f>
        <v>0</v>
      </c>
      <c r="Q381" s="38">
        <f>((L381*References!$C$60)+(Opportunities!M381*References!$C$61)+(Opportunities!N381*References!$C$62))/100</f>
        <v>0</v>
      </c>
      <c r="R381" s="35">
        <f t="shared" si="56"/>
        <v>0</v>
      </c>
      <c r="S381" s="36">
        <f>O381/'Graphs&amp;Analysis'!$D$24</f>
        <v>0</v>
      </c>
      <c r="T381" s="153"/>
      <c r="U381" s="153"/>
      <c r="W381" s="13" t="str">
        <f t="shared" si="54"/>
        <v/>
      </c>
    </row>
    <row r="382" spans="1:23">
      <c r="A382" s="13" t="str">
        <f>IF(T382="YES",MAX($A$12:A381)+1,"")</f>
        <v/>
      </c>
      <c r="C382" s="23"/>
      <c r="D382" s="23"/>
      <c r="E382" s="79"/>
      <c r="F382" s="23"/>
      <c r="G382" s="23"/>
      <c r="H382" s="79"/>
      <c r="I382" s="74"/>
      <c r="J382" s="23"/>
      <c r="K382" s="23"/>
      <c r="L382" s="23"/>
      <c r="M382" s="23"/>
      <c r="N382" s="23"/>
      <c r="O382" s="23"/>
      <c r="P382" s="23"/>
      <c r="Q382" s="23"/>
      <c r="R382" s="23"/>
      <c r="S382" s="23"/>
      <c r="T382" s="23"/>
      <c r="U382" s="23"/>
    </row>
    <row r="383" spans="1:23">
      <c r="A383" s="13" t="str">
        <f>IF(T383="YES",MAX($A$12:A382)+1,"")</f>
        <v/>
      </c>
      <c r="B383" s="252" t="s">
        <v>128</v>
      </c>
      <c r="C383" s="252"/>
      <c r="D383" s="71"/>
      <c r="H383" s="16"/>
      <c r="I383" s="67"/>
      <c r="K383" s="68"/>
      <c r="L383" s="68"/>
      <c r="M383" s="68"/>
      <c r="N383" s="68" t="s">
        <v>3</v>
      </c>
      <c r="O383" s="69">
        <f>SUM(O372:O381)</f>
        <v>0</v>
      </c>
      <c r="P383" s="69"/>
    </row>
    <row r="384" spans="1:23">
      <c r="A384" s="13" t="str">
        <f>IF(T384="YES",MAX($A$12:A383)+1,"")</f>
        <v/>
      </c>
      <c r="H384" s="16"/>
      <c r="I384" s="67"/>
      <c r="K384" s="68"/>
      <c r="L384" s="68"/>
      <c r="M384" s="68"/>
      <c r="N384" s="68" t="str">
        <f>CONCATENATE("Savings as a % of  ",C372," emissions")</f>
        <v>Savings as a % of  Transport Category 4 emissions</v>
      </c>
      <c r="O384" s="186" t="e">
        <f>O383/Baseline!$G$65</f>
        <v>#DIV/0!</v>
      </c>
    </row>
    <row r="385" spans="1:23">
      <c r="A385" s="13" t="str">
        <f>IF(T385="YES",MAX($A$12:A384)+1,"")</f>
        <v/>
      </c>
    </row>
    <row r="386" spans="1:23">
      <c r="A386" s="13" t="str">
        <f>IF(T386="YES",MAX($A$12:A385)+1,"")</f>
        <v/>
      </c>
    </row>
    <row r="387" spans="1:23" ht="18">
      <c r="A387" s="13" t="str">
        <f>IF(T387="YES",MAX($A$12:A386)+1,"")</f>
        <v/>
      </c>
      <c r="B387" s="187"/>
      <c r="C387" s="188" t="s">
        <v>200</v>
      </c>
      <c r="D387" s="176"/>
      <c r="E387" s="238"/>
      <c r="F387" s="176"/>
      <c r="G387" s="176"/>
      <c r="H387" s="176"/>
      <c r="I387" s="176"/>
      <c r="J387" s="176"/>
      <c r="K387" s="176"/>
      <c r="L387" s="176"/>
      <c r="M387" s="176"/>
      <c r="N387" s="176"/>
      <c r="O387" s="176"/>
      <c r="P387" s="176"/>
      <c r="Q387" s="176"/>
      <c r="R387" s="176"/>
      <c r="S387" s="176"/>
      <c r="T387" s="176"/>
      <c r="U387" s="176"/>
      <c r="V387" s="182"/>
    </row>
    <row r="388" spans="1:23">
      <c r="A388" s="13" t="str">
        <f>IF(T388="YES",MAX($A$12:A387)+1,"")</f>
        <v/>
      </c>
      <c r="B388" s="20"/>
      <c r="C388" s="248" t="s">
        <v>151</v>
      </c>
      <c r="D388" s="250"/>
      <c r="E388" s="248" t="s">
        <v>59</v>
      </c>
      <c r="F388" s="248" t="s">
        <v>7</v>
      </c>
      <c r="G388" s="248" t="s">
        <v>8</v>
      </c>
      <c r="H388" s="256" t="s">
        <v>58</v>
      </c>
      <c r="I388" s="257"/>
      <c r="J388" s="258"/>
      <c r="K388" s="250" t="s">
        <v>109</v>
      </c>
      <c r="L388" s="248" t="s">
        <v>213</v>
      </c>
      <c r="M388" s="248" t="s">
        <v>214</v>
      </c>
      <c r="N388" s="248" t="s">
        <v>215</v>
      </c>
      <c r="O388" s="249" t="s">
        <v>14</v>
      </c>
      <c r="P388" s="248" t="s">
        <v>108</v>
      </c>
      <c r="Q388" s="248" t="s">
        <v>111</v>
      </c>
      <c r="R388" s="248" t="s">
        <v>150</v>
      </c>
      <c r="S388" s="248" t="s">
        <v>77</v>
      </c>
      <c r="T388" s="248" t="s">
        <v>110</v>
      </c>
      <c r="U388" s="248" t="s">
        <v>160</v>
      </c>
    </row>
    <row r="389" spans="1:23" ht="33.75" customHeight="1">
      <c r="A389" s="13" t="str">
        <f>IF(T389="YES",MAX($A$12:A388)+1,"")</f>
        <v/>
      </c>
      <c r="B389" s="20"/>
      <c r="C389" s="248"/>
      <c r="D389" s="251"/>
      <c r="E389" s="248"/>
      <c r="F389" s="248"/>
      <c r="G389" s="248"/>
      <c r="H389" s="10" t="s">
        <v>118</v>
      </c>
      <c r="I389" s="10" t="s">
        <v>119</v>
      </c>
      <c r="J389" s="10" t="s">
        <v>204</v>
      </c>
      <c r="K389" s="251"/>
      <c r="L389" s="248"/>
      <c r="M389" s="248"/>
      <c r="N389" s="248"/>
      <c r="O389" s="249"/>
      <c r="P389" s="248"/>
      <c r="Q389" s="248"/>
      <c r="R389" s="248"/>
      <c r="S389" s="248"/>
      <c r="T389" s="248"/>
      <c r="U389" s="248"/>
    </row>
    <row r="390" spans="1:23">
      <c r="A390" s="13" t="str">
        <f>IF(T390="YES",MAX($A$12:A389)+1,"")</f>
        <v/>
      </c>
      <c r="B390" s="20"/>
      <c r="C390" s="5" t="str">
        <f>Baseline!C59</f>
        <v>Transport Category 5</v>
      </c>
      <c r="D390" s="5"/>
      <c r="E390" s="5" t="s">
        <v>158</v>
      </c>
      <c r="F390" s="152"/>
      <c r="G390" s="152"/>
      <c r="H390" s="6">
        <v>0.1</v>
      </c>
      <c r="I390" s="6">
        <v>0.1</v>
      </c>
      <c r="J390" s="6">
        <v>0.1</v>
      </c>
      <c r="K390" s="29">
        <v>500</v>
      </c>
      <c r="L390" s="145">
        <f>$F390*$G390*$H390*Baseline!D$59/References!$C$28</f>
        <v>0</v>
      </c>
      <c r="M390" s="145">
        <f>$F390*$G390*$I390*Baseline!E$59/References!$C$29</f>
        <v>0</v>
      </c>
      <c r="N390" s="145">
        <f>$F390*$G390*$J390*Baseline!F$59/References!$C$30</f>
        <v>0</v>
      </c>
      <c r="O390" s="145">
        <f>((L390*References!$C$28)+(Opportunities!M390*References!$C$29)+(Opportunities!N390*References!$C$30))/1000</f>
        <v>0</v>
      </c>
      <c r="P390" s="38">
        <f>O390*K390</f>
        <v>0</v>
      </c>
      <c r="Q390" s="38">
        <f>((L390*References!$C$60)+(Opportunities!M390*References!$C$61)+(Opportunities!N390*References!$C$62))/100</f>
        <v>0</v>
      </c>
      <c r="R390" s="35">
        <f>IF(ISERROR(P390/Q390),0,P390/Q390)</f>
        <v>0</v>
      </c>
      <c r="S390" s="185">
        <f>O390/'Graphs&amp;Analysis'!$D$24</f>
        <v>0</v>
      </c>
      <c r="T390" s="153"/>
      <c r="U390" s="153"/>
      <c r="W390" s="13" t="str">
        <f t="shared" ref="W390:W399" si="58">IF(O390&gt;0,IF(N390&gt;0,"Air", "Road"),"")</f>
        <v/>
      </c>
    </row>
    <row r="391" spans="1:23" ht="25.5">
      <c r="A391" s="13" t="str">
        <f>IF(T391="YES",MAX($A$12:A390)+1,"")</f>
        <v/>
      </c>
      <c r="B391" s="20"/>
      <c r="C391" s="5" t="str">
        <f>C390</f>
        <v>Transport Category 5</v>
      </c>
      <c r="D391" s="5"/>
      <c r="E391" s="5" t="s">
        <v>60</v>
      </c>
      <c r="F391" s="152"/>
      <c r="G391" s="152"/>
      <c r="H391" s="6">
        <v>0.5</v>
      </c>
      <c r="I391" s="6">
        <v>0.5</v>
      </c>
      <c r="J391" s="6">
        <v>0.5</v>
      </c>
      <c r="K391" s="29">
        <v>500</v>
      </c>
      <c r="L391" s="145">
        <f>$F391*$G391*$H391*Baseline!D$59/References!$C$28</f>
        <v>0</v>
      </c>
      <c r="M391" s="145">
        <f>$F391*$G391*$I391*Baseline!E$59/References!$C$29</f>
        <v>0</v>
      </c>
      <c r="N391" s="145">
        <f>$F391*$G391*$J391*Baseline!F$59/References!$C$30</f>
        <v>0</v>
      </c>
      <c r="O391" s="145">
        <f>((L391*References!$C$28)+(Opportunities!M391*References!$C$29)+(Opportunities!N391*References!$C$30))/1000</f>
        <v>0</v>
      </c>
      <c r="P391" s="38">
        <f t="shared" ref="P391:P396" si="59">O391*K391</f>
        <v>0</v>
      </c>
      <c r="Q391" s="38">
        <f>((L391*References!$C$60)+(Opportunities!M391*References!$C$61)+(Opportunities!N391*References!$C$62))/100</f>
        <v>0</v>
      </c>
      <c r="R391" s="35">
        <f t="shared" ref="R391:R399" si="60">IF(ISERROR(P391/Q391),0,P391/Q391)</f>
        <v>0</v>
      </c>
      <c r="S391" s="36">
        <f>O391/'Graphs&amp;Analysis'!$D$24</f>
        <v>0</v>
      </c>
      <c r="T391" s="153"/>
      <c r="U391" s="153"/>
      <c r="W391" s="13" t="str">
        <f t="shared" si="58"/>
        <v/>
      </c>
    </row>
    <row r="392" spans="1:23" ht="25.5">
      <c r="A392" s="13" t="str">
        <f>IF(T392="YES",MAX($A$12:A391)+1,"")</f>
        <v/>
      </c>
      <c r="B392" s="20"/>
      <c r="C392" s="5" t="str">
        <f t="shared" ref="C392:C399" si="61">C391</f>
        <v>Transport Category 5</v>
      </c>
      <c r="D392" s="5"/>
      <c r="E392" s="5" t="s">
        <v>61</v>
      </c>
      <c r="F392" s="152"/>
      <c r="G392" s="152"/>
      <c r="H392" s="6"/>
      <c r="I392" s="6">
        <v>0.05</v>
      </c>
      <c r="J392" s="6"/>
      <c r="K392" s="29">
        <v>500</v>
      </c>
      <c r="L392" s="145">
        <f>$F392*$G392*$H392*Baseline!D$59/References!$C$28</f>
        <v>0</v>
      </c>
      <c r="M392" s="145">
        <f>$F392*$G392*$I392*Baseline!E$59/References!$C$29</f>
        <v>0</v>
      </c>
      <c r="N392" s="145">
        <f>$F392*$G392*$J392*Baseline!F$59/References!$C$30</f>
        <v>0</v>
      </c>
      <c r="O392" s="145">
        <f>((L392*References!$C$28)+(Opportunities!M392*References!$C$29)+(Opportunities!N392*References!$C$30))/1000</f>
        <v>0</v>
      </c>
      <c r="P392" s="38">
        <f t="shared" si="59"/>
        <v>0</v>
      </c>
      <c r="Q392" s="38">
        <f>((L392*References!$C$60)+(Opportunities!M392*References!$C$61)+(Opportunities!N392*References!$C$62))/100</f>
        <v>0</v>
      </c>
      <c r="R392" s="35">
        <f t="shared" si="60"/>
        <v>0</v>
      </c>
      <c r="S392" s="36">
        <f>O392/'Graphs&amp;Analysis'!$D$24</f>
        <v>0</v>
      </c>
      <c r="T392" s="153"/>
      <c r="U392" s="153"/>
      <c r="W392" s="13" t="str">
        <f t="shared" si="58"/>
        <v/>
      </c>
    </row>
    <row r="393" spans="1:23">
      <c r="A393" s="13" t="str">
        <f>IF(T393="YES",MAX($A$12:A392)+1,"")</f>
        <v/>
      </c>
      <c r="B393" s="20"/>
      <c r="C393" s="5" t="str">
        <f t="shared" si="61"/>
        <v>Transport Category 5</v>
      </c>
      <c r="D393" s="5"/>
      <c r="E393" s="5" t="s">
        <v>62</v>
      </c>
      <c r="F393" s="152"/>
      <c r="G393" s="152"/>
      <c r="H393" s="6">
        <v>0.1</v>
      </c>
      <c r="I393" s="6">
        <v>0.1</v>
      </c>
      <c r="J393" s="6">
        <v>0.1</v>
      </c>
      <c r="K393" s="29">
        <v>500</v>
      </c>
      <c r="L393" s="145">
        <f>$F393*$G393*$H393*Baseline!D$59/References!$C$28</f>
        <v>0</v>
      </c>
      <c r="M393" s="145">
        <f>$F393*$G393*$I393*Baseline!E$59/References!$C$29</f>
        <v>0</v>
      </c>
      <c r="N393" s="145">
        <f>$F393*$G393*$J393*Baseline!F$59/References!$C$30</f>
        <v>0</v>
      </c>
      <c r="O393" s="145">
        <f>((L393*References!$C$28)+(Opportunities!M393*References!$C$29)+(Opportunities!N393*References!$C$30))/1000</f>
        <v>0</v>
      </c>
      <c r="P393" s="38">
        <f t="shared" si="59"/>
        <v>0</v>
      </c>
      <c r="Q393" s="38">
        <f>((L393*References!$C$60)+(Opportunities!M393*References!$C$61)+(Opportunities!N393*References!$C$62))/100</f>
        <v>0</v>
      </c>
      <c r="R393" s="35">
        <f t="shared" si="60"/>
        <v>0</v>
      </c>
      <c r="S393" s="36">
        <f>O393/'Graphs&amp;Analysis'!$D$24</f>
        <v>0</v>
      </c>
      <c r="T393" s="153"/>
      <c r="U393" s="153"/>
      <c r="W393" s="13" t="str">
        <f t="shared" si="58"/>
        <v/>
      </c>
    </row>
    <row r="394" spans="1:23" ht="25.5">
      <c r="A394" s="13" t="str">
        <f>IF(T394="YES",MAX($A$12:A393)+1,"")</f>
        <v/>
      </c>
      <c r="B394" s="20"/>
      <c r="C394" s="5" t="str">
        <f t="shared" si="61"/>
        <v>Transport Category 5</v>
      </c>
      <c r="D394" s="5"/>
      <c r="E394" s="5" t="s">
        <v>63</v>
      </c>
      <c r="F394" s="152"/>
      <c r="G394" s="152"/>
      <c r="H394" s="6">
        <v>0.1</v>
      </c>
      <c r="I394" s="6">
        <v>0.1</v>
      </c>
      <c r="J394" s="6">
        <v>0.1</v>
      </c>
      <c r="K394" s="29">
        <v>500</v>
      </c>
      <c r="L394" s="145">
        <f>$F394*$G394*$H394*Baseline!D$59/References!$C$28</f>
        <v>0</v>
      </c>
      <c r="M394" s="145">
        <f>$F394*$G394*$I394*Baseline!E$59/References!$C$29</f>
        <v>0</v>
      </c>
      <c r="N394" s="145">
        <f>$F394*$G394*$J394*Baseline!F$59/References!$C$30</f>
        <v>0</v>
      </c>
      <c r="O394" s="145">
        <f>((L394*References!$C$28)+(Opportunities!M394*References!$C$29)+(Opportunities!N394*References!$C$30))/1000</f>
        <v>0</v>
      </c>
      <c r="P394" s="38">
        <f t="shared" si="59"/>
        <v>0</v>
      </c>
      <c r="Q394" s="38">
        <f>((L394*References!$C$60)+(Opportunities!M394*References!$C$61)+(Opportunities!N394*References!$C$62))/100</f>
        <v>0</v>
      </c>
      <c r="R394" s="35">
        <f t="shared" si="60"/>
        <v>0</v>
      </c>
      <c r="S394" s="36">
        <f>O394/'Graphs&amp;Analysis'!$D$24</f>
        <v>0</v>
      </c>
      <c r="T394" s="153"/>
      <c r="U394" s="153"/>
      <c r="W394" s="13" t="str">
        <f t="shared" si="58"/>
        <v/>
      </c>
    </row>
    <row r="395" spans="1:23">
      <c r="A395" s="13" t="str">
        <f>IF(T395="YES",MAX($A$12:A394)+1,"")</f>
        <v/>
      </c>
      <c r="B395" s="20"/>
      <c r="C395" s="5" t="str">
        <f t="shared" si="61"/>
        <v>Transport Category 5</v>
      </c>
      <c r="D395" s="5"/>
      <c r="E395" s="5" t="s">
        <v>52</v>
      </c>
      <c r="F395" s="152"/>
      <c r="G395" s="152"/>
      <c r="H395" s="6"/>
      <c r="I395" s="6"/>
      <c r="J395" s="6"/>
      <c r="K395" s="29">
        <v>500</v>
      </c>
      <c r="L395" s="145">
        <f>$F395*$G395*$H395*Baseline!D$59/References!$C$28</f>
        <v>0</v>
      </c>
      <c r="M395" s="145">
        <f>$F395*$G395*$I395*Baseline!E$59/References!$C$29</f>
        <v>0</v>
      </c>
      <c r="N395" s="145">
        <f>$F395*$G395*$J395*Baseline!F$59/References!$C$30</f>
        <v>0</v>
      </c>
      <c r="O395" s="145">
        <f>((L395*References!$C$28)+(Opportunities!M395*References!$C$29)+(Opportunities!N395*References!$C$30))/1000</f>
        <v>0</v>
      </c>
      <c r="P395" s="38">
        <f t="shared" si="59"/>
        <v>0</v>
      </c>
      <c r="Q395" s="38">
        <f>((L395*References!$C$60)+(Opportunities!M395*References!$C$61)+(Opportunities!N395*References!$C$62))/100</f>
        <v>0</v>
      </c>
      <c r="R395" s="35">
        <f t="shared" si="60"/>
        <v>0</v>
      </c>
      <c r="S395" s="36">
        <f>O395/'Graphs&amp;Analysis'!$D$24</f>
        <v>0</v>
      </c>
      <c r="T395" s="153"/>
      <c r="U395" s="153"/>
      <c r="W395" s="13" t="str">
        <f t="shared" si="58"/>
        <v/>
      </c>
    </row>
    <row r="396" spans="1:23">
      <c r="A396" s="13" t="str">
        <f>IF(T396="YES",MAX($A$12:A395)+1,"")</f>
        <v/>
      </c>
      <c r="B396" s="20"/>
      <c r="C396" s="5" t="str">
        <f t="shared" si="61"/>
        <v>Transport Category 5</v>
      </c>
      <c r="D396" s="5"/>
      <c r="E396" s="5" t="s">
        <v>52</v>
      </c>
      <c r="F396" s="152"/>
      <c r="G396" s="152"/>
      <c r="H396" s="6"/>
      <c r="I396" s="6"/>
      <c r="J396" s="6"/>
      <c r="K396" s="29">
        <v>500</v>
      </c>
      <c r="L396" s="145">
        <f>$F396*$G396*$H396*Baseline!D$59/References!$C$28</f>
        <v>0</v>
      </c>
      <c r="M396" s="145">
        <f>$F396*$G396*$I396*Baseline!E$59/References!$C$29</f>
        <v>0</v>
      </c>
      <c r="N396" s="145">
        <f>$F396*$G396*$J396*Baseline!F$59/References!$C$30</f>
        <v>0</v>
      </c>
      <c r="O396" s="145">
        <f>((L396*References!$C$28)+(Opportunities!M396*References!$C$29)+(Opportunities!N396*References!$C$30))/1000</f>
        <v>0</v>
      </c>
      <c r="P396" s="38">
        <f t="shared" si="59"/>
        <v>0</v>
      </c>
      <c r="Q396" s="38">
        <f>((L396*References!$C$60)+(Opportunities!M396*References!$C$61)+(Opportunities!N396*References!$C$62))/100</f>
        <v>0</v>
      </c>
      <c r="R396" s="35">
        <f t="shared" si="60"/>
        <v>0</v>
      </c>
      <c r="S396" s="36">
        <f>O396/'Graphs&amp;Analysis'!$D$24</f>
        <v>0</v>
      </c>
      <c r="T396" s="153"/>
      <c r="U396" s="153"/>
      <c r="W396" s="13" t="str">
        <f t="shared" si="58"/>
        <v/>
      </c>
    </row>
    <row r="397" spans="1:23">
      <c r="A397" s="13" t="str">
        <f>IF(T397="YES",MAX($A$12:A396)+1,"")</f>
        <v/>
      </c>
      <c r="B397" s="20"/>
      <c r="C397" s="5" t="str">
        <f t="shared" si="61"/>
        <v>Transport Category 5</v>
      </c>
      <c r="D397" s="5"/>
      <c r="E397" s="5" t="s">
        <v>52</v>
      </c>
      <c r="F397" s="152"/>
      <c r="G397" s="152"/>
      <c r="H397" s="6"/>
      <c r="I397" s="6"/>
      <c r="J397" s="6"/>
      <c r="K397" s="29">
        <v>500</v>
      </c>
      <c r="L397" s="145">
        <f>$F397*$G397*$H397*Baseline!D$59/References!$C$28</f>
        <v>0</v>
      </c>
      <c r="M397" s="145">
        <f>$F397*$G397*$I397*Baseline!E$59/References!$C$29</f>
        <v>0</v>
      </c>
      <c r="N397" s="145">
        <f>$F397*$G397*$J397*Baseline!F$59/References!$C$30</f>
        <v>0</v>
      </c>
      <c r="O397" s="145">
        <f>((L397*References!$C$28)+(Opportunities!M397*References!$C$29)+(Opportunities!N397*References!$C$30))/1000</f>
        <v>0</v>
      </c>
      <c r="P397" s="38">
        <f>O397*K397</f>
        <v>0</v>
      </c>
      <c r="Q397" s="38">
        <f>((L397*References!$C$60)+(Opportunities!M397*References!$C$61)+(Opportunities!N397*References!$C$62))/100</f>
        <v>0</v>
      </c>
      <c r="R397" s="35">
        <f t="shared" si="60"/>
        <v>0</v>
      </c>
      <c r="S397" s="36">
        <f>O397/'Graphs&amp;Analysis'!$D$24</f>
        <v>0</v>
      </c>
      <c r="T397" s="153"/>
      <c r="U397" s="153"/>
      <c r="W397" s="13" t="str">
        <f t="shared" si="58"/>
        <v/>
      </c>
    </row>
    <row r="398" spans="1:23">
      <c r="A398" s="13" t="str">
        <f>IF(T398="YES",MAX($A$12:A397)+1,"")</f>
        <v/>
      </c>
      <c r="B398" s="20"/>
      <c r="C398" s="5" t="str">
        <f t="shared" si="61"/>
        <v>Transport Category 5</v>
      </c>
      <c r="D398" s="5"/>
      <c r="E398" s="5" t="s">
        <v>52</v>
      </c>
      <c r="F398" s="152"/>
      <c r="G398" s="152"/>
      <c r="H398" s="6"/>
      <c r="I398" s="6"/>
      <c r="J398" s="6"/>
      <c r="K398" s="29">
        <v>500</v>
      </c>
      <c r="L398" s="145">
        <f>$F398*$G398*$H398*Baseline!D$59/References!$C$28</f>
        <v>0</v>
      </c>
      <c r="M398" s="145">
        <f>$F398*$G398*$I398*Baseline!E$59/References!$C$29</f>
        <v>0</v>
      </c>
      <c r="N398" s="145">
        <f>$F398*$G398*$J398*Baseline!F$59/References!$C$30</f>
        <v>0</v>
      </c>
      <c r="O398" s="145">
        <f>((L398*References!$C$28)+(Opportunities!M398*References!$C$29)+(Opportunities!N398*References!$C$30))/1000</f>
        <v>0</v>
      </c>
      <c r="P398" s="38">
        <f>O398*K398</f>
        <v>0</v>
      </c>
      <c r="Q398" s="38">
        <f>((L398*References!$C$60)+(Opportunities!M398*References!$C$61)+(Opportunities!N398*References!$C$62))/100</f>
        <v>0</v>
      </c>
      <c r="R398" s="35">
        <f t="shared" si="60"/>
        <v>0</v>
      </c>
      <c r="S398" s="36">
        <f>O398/'Graphs&amp;Analysis'!$D$24</f>
        <v>0</v>
      </c>
      <c r="T398" s="153"/>
      <c r="U398" s="153"/>
      <c r="W398" s="13" t="str">
        <f t="shared" si="58"/>
        <v/>
      </c>
    </row>
    <row r="399" spans="1:23">
      <c r="A399" s="13" t="str">
        <f>IF(T399="YES",MAX($A$12:A398)+1,"")</f>
        <v/>
      </c>
      <c r="B399" s="20"/>
      <c r="C399" s="5" t="str">
        <f t="shared" si="61"/>
        <v>Transport Category 5</v>
      </c>
      <c r="D399" s="5"/>
      <c r="E399" s="5" t="s">
        <v>52</v>
      </c>
      <c r="F399" s="152"/>
      <c r="G399" s="152"/>
      <c r="H399" s="6"/>
      <c r="I399" s="6"/>
      <c r="J399" s="6"/>
      <c r="K399" s="29">
        <v>500</v>
      </c>
      <c r="L399" s="145">
        <f>$F399*$G399*$H399*Baseline!D$59/References!$C$28</f>
        <v>0</v>
      </c>
      <c r="M399" s="145">
        <f>$F399*$G399*$I399*Baseline!E$59/References!$C$29</f>
        <v>0</v>
      </c>
      <c r="N399" s="145">
        <f>$F399*$G399*$J399*Baseline!F$59/References!$C$30</f>
        <v>0</v>
      </c>
      <c r="O399" s="145">
        <f>((L399*References!$C$28)+(Opportunities!M399*References!$C$29)+(Opportunities!N399*References!$C$30))/1000</f>
        <v>0</v>
      </c>
      <c r="P399" s="38">
        <f>O399*K399</f>
        <v>0</v>
      </c>
      <c r="Q399" s="38">
        <f>((L399*References!$C$60)+(Opportunities!M399*References!$C$61)+(Opportunities!N399*References!$C$62))/100</f>
        <v>0</v>
      </c>
      <c r="R399" s="35">
        <f t="shared" si="60"/>
        <v>0</v>
      </c>
      <c r="S399" s="36">
        <f>O399/'Graphs&amp;Analysis'!$D$24</f>
        <v>0</v>
      </c>
      <c r="T399" s="153"/>
      <c r="U399" s="153"/>
      <c r="W399" s="13" t="str">
        <f t="shared" si="58"/>
        <v/>
      </c>
    </row>
    <row r="400" spans="1:23">
      <c r="A400" s="13" t="str">
        <f>IF(T400="YES",MAX($A$12:A399)+1,"")</f>
        <v/>
      </c>
      <c r="C400" s="23"/>
      <c r="D400" s="23"/>
      <c r="E400" s="79"/>
      <c r="F400" s="23"/>
      <c r="G400" s="23"/>
      <c r="H400" s="79"/>
      <c r="I400" s="74"/>
      <c r="J400" s="23"/>
      <c r="K400" s="23"/>
      <c r="L400" s="23"/>
      <c r="M400" s="23"/>
      <c r="N400" s="23"/>
      <c r="O400" s="23"/>
      <c r="P400" s="23"/>
      <c r="Q400" s="23"/>
      <c r="R400" s="23"/>
      <c r="S400" s="23"/>
      <c r="T400" s="23"/>
      <c r="U400" s="23"/>
    </row>
    <row r="401" spans="1:23">
      <c r="A401" s="13" t="str">
        <f>IF(T401="YES",MAX($A$12:A400)+1,"")</f>
        <v/>
      </c>
      <c r="B401" s="252" t="s">
        <v>128</v>
      </c>
      <c r="C401" s="252"/>
      <c r="D401" s="71"/>
      <c r="H401" s="16"/>
      <c r="I401" s="67"/>
      <c r="K401" s="68"/>
      <c r="L401" s="68"/>
      <c r="M401" s="68"/>
      <c r="N401" s="68" t="s">
        <v>3</v>
      </c>
      <c r="O401" s="69">
        <f>SUM(O390:O399)</f>
        <v>0</v>
      </c>
      <c r="P401" s="69"/>
    </row>
    <row r="402" spans="1:23">
      <c r="A402" s="13" t="str">
        <f>IF(T402="YES",MAX($A$12:A401)+1,"")</f>
        <v/>
      </c>
      <c r="H402" s="16"/>
      <c r="I402" s="67"/>
      <c r="K402" s="68"/>
      <c r="L402" s="68"/>
      <c r="M402" s="68"/>
      <c r="N402" s="68" t="str">
        <f>CONCATENATE("Savings as a % of  ",C390," emissions")</f>
        <v>Savings as a % of  Transport Category 5 emissions</v>
      </c>
      <c r="O402" s="186" t="e">
        <f>O401/Baseline!$G$65</f>
        <v>#DIV/0!</v>
      </c>
    </row>
    <row r="403" spans="1:23">
      <c r="A403" s="13" t="str">
        <f>IF(T403="YES",MAX($A$12:A402)+1,"")</f>
        <v/>
      </c>
    </row>
    <row r="404" spans="1:23">
      <c r="A404" s="13" t="str">
        <f>IF(T404="YES",MAX($A$12:A403)+1,"")</f>
        <v/>
      </c>
    </row>
    <row r="405" spans="1:23" ht="18">
      <c r="A405" s="13" t="str">
        <f>IF(T405="YES",MAX($A$12:A404)+1,"")</f>
        <v/>
      </c>
      <c r="B405" s="187"/>
      <c r="C405" s="188" t="s">
        <v>201</v>
      </c>
      <c r="D405" s="176"/>
      <c r="E405" s="238"/>
      <c r="F405" s="176"/>
      <c r="G405" s="176"/>
      <c r="H405" s="176"/>
      <c r="I405" s="176"/>
      <c r="J405" s="176"/>
      <c r="K405" s="176"/>
      <c r="L405" s="176"/>
      <c r="M405" s="176"/>
      <c r="N405" s="176"/>
      <c r="O405" s="176"/>
      <c r="P405" s="176"/>
      <c r="Q405" s="176"/>
      <c r="R405" s="176"/>
      <c r="S405" s="176"/>
      <c r="T405" s="176"/>
      <c r="U405" s="176"/>
      <c r="V405" s="182"/>
    </row>
    <row r="406" spans="1:23">
      <c r="A406" s="13" t="str">
        <f>IF(T406="YES",MAX($A$12:A405)+1,"")</f>
        <v/>
      </c>
      <c r="B406" s="20"/>
      <c r="C406" s="248" t="s">
        <v>151</v>
      </c>
      <c r="D406" s="250"/>
      <c r="E406" s="248" t="s">
        <v>59</v>
      </c>
      <c r="F406" s="248" t="s">
        <v>7</v>
      </c>
      <c r="G406" s="248" t="s">
        <v>8</v>
      </c>
      <c r="H406" s="256" t="s">
        <v>58</v>
      </c>
      <c r="I406" s="257"/>
      <c r="J406" s="258"/>
      <c r="K406" s="250" t="s">
        <v>109</v>
      </c>
      <c r="L406" s="248" t="s">
        <v>213</v>
      </c>
      <c r="M406" s="248" t="s">
        <v>214</v>
      </c>
      <c r="N406" s="248" t="s">
        <v>215</v>
      </c>
      <c r="O406" s="249" t="s">
        <v>14</v>
      </c>
      <c r="P406" s="248" t="s">
        <v>108</v>
      </c>
      <c r="Q406" s="248" t="s">
        <v>111</v>
      </c>
      <c r="R406" s="248" t="s">
        <v>150</v>
      </c>
      <c r="S406" s="248" t="s">
        <v>77</v>
      </c>
      <c r="T406" s="248" t="s">
        <v>110</v>
      </c>
      <c r="U406" s="248" t="s">
        <v>160</v>
      </c>
    </row>
    <row r="407" spans="1:23" ht="45" customHeight="1">
      <c r="A407" s="13" t="str">
        <f>IF(T407="YES",MAX($A$12:A406)+1,"")</f>
        <v/>
      </c>
      <c r="B407" s="20"/>
      <c r="C407" s="248"/>
      <c r="D407" s="251"/>
      <c r="E407" s="248"/>
      <c r="F407" s="248"/>
      <c r="G407" s="248"/>
      <c r="H407" s="10" t="s">
        <v>118</v>
      </c>
      <c r="I407" s="10" t="s">
        <v>119</v>
      </c>
      <c r="J407" s="10" t="s">
        <v>204</v>
      </c>
      <c r="K407" s="251"/>
      <c r="L407" s="248"/>
      <c r="M407" s="248"/>
      <c r="N407" s="248"/>
      <c r="O407" s="249"/>
      <c r="P407" s="248"/>
      <c r="Q407" s="248"/>
      <c r="R407" s="248"/>
      <c r="S407" s="248"/>
      <c r="T407" s="248"/>
      <c r="U407" s="248"/>
    </row>
    <row r="408" spans="1:23">
      <c r="A408" s="13" t="str">
        <f>IF(T408="YES",MAX($A$12:A407)+1,"")</f>
        <v/>
      </c>
      <c r="B408" s="20"/>
      <c r="C408" s="5" t="str">
        <f>Baseline!C60</f>
        <v>Transport Category 6</v>
      </c>
      <c r="D408" s="5"/>
      <c r="E408" s="5" t="s">
        <v>158</v>
      </c>
      <c r="F408" s="152"/>
      <c r="G408" s="152"/>
      <c r="H408" s="6">
        <v>0.1</v>
      </c>
      <c r="I408" s="6">
        <v>0.1</v>
      </c>
      <c r="J408" s="6">
        <v>0.1</v>
      </c>
      <c r="K408" s="29">
        <v>500</v>
      </c>
      <c r="L408" s="145">
        <f>$F408*$G408*$H408*Baseline!D$60/References!$C$28</f>
        <v>0</v>
      </c>
      <c r="M408" s="145">
        <f>$F408*$G408*$I408*Baseline!E$60/References!$C$29</f>
        <v>0</v>
      </c>
      <c r="N408" s="145">
        <f>$F408*$G408*$J408*Baseline!F$61/References!$C$30</f>
        <v>0</v>
      </c>
      <c r="O408" s="145">
        <f>((L408*References!$C$28)+(Opportunities!M408*References!$C$29)+(Opportunities!N408*References!$C$30))/1000</f>
        <v>0</v>
      </c>
      <c r="P408" s="38">
        <f>O408*K408</f>
        <v>0</v>
      </c>
      <c r="Q408" s="38">
        <f>((L408*References!$C$60)+(Opportunities!M408*References!$C$61)+(Opportunities!N408*References!$C$62))/100</f>
        <v>0</v>
      </c>
      <c r="R408" s="35">
        <f>IF(ISERROR(P408/Q408),0,P408/Q408)</f>
        <v>0</v>
      </c>
      <c r="S408" s="185">
        <f>O408/'Graphs&amp;Analysis'!$D$24</f>
        <v>0</v>
      </c>
      <c r="T408" s="153"/>
      <c r="U408" s="153"/>
      <c r="W408" s="13" t="str">
        <f t="shared" ref="W408:W417" si="62">IF(O408&gt;0,IF(N408&gt;0,"Air", "Road"),"")</f>
        <v/>
      </c>
    </row>
    <row r="409" spans="1:23" ht="25.5">
      <c r="A409" s="13" t="str">
        <f>IF(T409="YES",MAX($A$12:A408)+1,"")</f>
        <v/>
      </c>
      <c r="B409" s="20"/>
      <c r="C409" s="5" t="str">
        <f>C408</f>
        <v>Transport Category 6</v>
      </c>
      <c r="D409" s="5"/>
      <c r="E409" s="5" t="s">
        <v>60</v>
      </c>
      <c r="F409" s="152"/>
      <c r="G409" s="152"/>
      <c r="H409" s="6">
        <v>0.5</v>
      </c>
      <c r="I409" s="6">
        <v>0.5</v>
      </c>
      <c r="J409" s="6">
        <v>0.5</v>
      </c>
      <c r="K409" s="29">
        <v>500</v>
      </c>
      <c r="L409" s="145">
        <f>$F409*$G409*$H409*Baseline!D$60/References!$C$28</f>
        <v>0</v>
      </c>
      <c r="M409" s="145">
        <f>$F409*$G409*$I409*Baseline!E$60/References!$C$29</f>
        <v>0</v>
      </c>
      <c r="N409" s="145">
        <f>$F409*$G409*$J409*Baseline!F$61/References!$C$30</f>
        <v>0</v>
      </c>
      <c r="O409" s="145">
        <f>((L409*References!$C$28)+(Opportunities!M409*References!$C$29)+(Opportunities!N409*References!$C$30))/1000</f>
        <v>0</v>
      </c>
      <c r="P409" s="38">
        <f t="shared" ref="P409:P414" si="63">O409*K409</f>
        <v>0</v>
      </c>
      <c r="Q409" s="38">
        <f>((L409*References!$C$60)+(Opportunities!M409*References!$C$61)+(Opportunities!N409*References!$C$62))/100</f>
        <v>0</v>
      </c>
      <c r="R409" s="35">
        <f t="shared" ref="R409:R417" si="64">IF(ISERROR(P409/Q409),0,P409/Q409)</f>
        <v>0</v>
      </c>
      <c r="S409" s="36">
        <f>O409/'Graphs&amp;Analysis'!$D$24</f>
        <v>0</v>
      </c>
      <c r="T409" s="153"/>
      <c r="U409" s="153"/>
      <c r="W409" s="13" t="str">
        <f t="shared" si="62"/>
        <v/>
      </c>
    </row>
    <row r="410" spans="1:23" ht="25.5">
      <c r="A410" s="13" t="str">
        <f>IF(T410="YES",MAX($A$12:A409)+1,"")</f>
        <v/>
      </c>
      <c r="B410" s="20"/>
      <c r="C410" s="5" t="str">
        <f t="shared" ref="C410:C417" si="65">C409</f>
        <v>Transport Category 6</v>
      </c>
      <c r="D410" s="5"/>
      <c r="E410" s="5" t="s">
        <v>61</v>
      </c>
      <c r="F410" s="152"/>
      <c r="G410" s="152"/>
      <c r="H410" s="6"/>
      <c r="I410" s="6">
        <v>0.05</v>
      </c>
      <c r="J410" s="6"/>
      <c r="K410" s="29">
        <v>500</v>
      </c>
      <c r="L410" s="145">
        <f>$F410*$G410*$H410*Baseline!D$60/References!$C$28</f>
        <v>0</v>
      </c>
      <c r="M410" s="145">
        <f>$F410*$G410*$I410*Baseline!E$60/References!$C$29</f>
        <v>0</v>
      </c>
      <c r="N410" s="145">
        <f>$F410*$G410*$J410*Baseline!F$61/References!$C$30</f>
        <v>0</v>
      </c>
      <c r="O410" s="145">
        <f>((L410*References!$C$28)+(Opportunities!M410*References!$C$29)+(Opportunities!N410*References!$C$30))/1000</f>
        <v>0</v>
      </c>
      <c r="P410" s="38">
        <f t="shared" si="63"/>
        <v>0</v>
      </c>
      <c r="Q410" s="38">
        <f>((L410*References!$C$60)+(Opportunities!M410*References!$C$61)+(Opportunities!N410*References!$C$62))/100</f>
        <v>0</v>
      </c>
      <c r="R410" s="35">
        <f t="shared" si="64"/>
        <v>0</v>
      </c>
      <c r="S410" s="36">
        <f>O410/'Graphs&amp;Analysis'!$D$24</f>
        <v>0</v>
      </c>
      <c r="T410" s="153"/>
      <c r="U410" s="153"/>
      <c r="W410" s="13" t="str">
        <f t="shared" si="62"/>
        <v/>
      </c>
    </row>
    <row r="411" spans="1:23">
      <c r="A411" s="13" t="str">
        <f>IF(T411="YES",MAX($A$12:A410)+1,"")</f>
        <v/>
      </c>
      <c r="B411" s="20"/>
      <c r="C411" s="5" t="str">
        <f t="shared" si="65"/>
        <v>Transport Category 6</v>
      </c>
      <c r="D411" s="5"/>
      <c r="E411" s="5" t="s">
        <v>62</v>
      </c>
      <c r="F411" s="152"/>
      <c r="G411" s="152"/>
      <c r="H411" s="6">
        <v>0.1</v>
      </c>
      <c r="I411" s="6">
        <v>0.1</v>
      </c>
      <c r="J411" s="6">
        <v>0.1</v>
      </c>
      <c r="K411" s="29">
        <v>500</v>
      </c>
      <c r="L411" s="145">
        <f>$F411*$G411*$H411*Baseline!D$60/References!$C$28</f>
        <v>0</v>
      </c>
      <c r="M411" s="145">
        <f>$F411*$G411*$I411*Baseline!E$60/References!$C$29</f>
        <v>0</v>
      </c>
      <c r="N411" s="145">
        <f>$F411*$G411*$J411*Baseline!F$61/References!$C$30</f>
        <v>0</v>
      </c>
      <c r="O411" s="145">
        <f>((L411*References!$C$28)+(Opportunities!M411*References!$C$29)+(Opportunities!N411*References!$C$30))/1000</f>
        <v>0</v>
      </c>
      <c r="P411" s="38">
        <f t="shared" si="63"/>
        <v>0</v>
      </c>
      <c r="Q411" s="38">
        <f>((L411*References!$C$60)+(Opportunities!M411*References!$C$61)+(Opportunities!N411*References!$C$62))/100</f>
        <v>0</v>
      </c>
      <c r="R411" s="35">
        <f t="shared" si="64"/>
        <v>0</v>
      </c>
      <c r="S411" s="36">
        <f>O411/'Graphs&amp;Analysis'!$D$24</f>
        <v>0</v>
      </c>
      <c r="T411" s="153"/>
      <c r="U411" s="153"/>
      <c r="W411" s="13" t="str">
        <f t="shared" si="62"/>
        <v/>
      </c>
    </row>
    <row r="412" spans="1:23" ht="25.5">
      <c r="A412" s="13" t="str">
        <f>IF(T412="YES",MAX($A$12:A411)+1,"")</f>
        <v/>
      </c>
      <c r="B412" s="20"/>
      <c r="C412" s="5" t="str">
        <f t="shared" si="65"/>
        <v>Transport Category 6</v>
      </c>
      <c r="D412" s="5"/>
      <c r="E412" s="5" t="s">
        <v>63</v>
      </c>
      <c r="F412" s="152"/>
      <c r="G412" s="152"/>
      <c r="H412" s="6">
        <v>0.1</v>
      </c>
      <c r="I412" s="6">
        <v>0.1</v>
      </c>
      <c r="J412" s="6">
        <v>0.1</v>
      </c>
      <c r="K412" s="29">
        <v>500</v>
      </c>
      <c r="L412" s="145">
        <f>$F412*$G412*$H412*Baseline!D$60/References!$C$28</f>
        <v>0</v>
      </c>
      <c r="M412" s="145">
        <f>$F412*$G412*$I412*Baseline!E$60/References!$C$29</f>
        <v>0</v>
      </c>
      <c r="N412" s="145">
        <f>$F412*$G412*$J412*Baseline!F$61/References!$C$30</f>
        <v>0</v>
      </c>
      <c r="O412" s="145">
        <f>((L412*References!$C$28)+(Opportunities!M412*References!$C$29)+(Opportunities!N412*References!$C$30))/1000</f>
        <v>0</v>
      </c>
      <c r="P412" s="38">
        <f t="shared" si="63"/>
        <v>0</v>
      </c>
      <c r="Q412" s="38">
        <f>((L412*References!$C$60)+(Opportunities!M412*References!$C$61)+(Opportunities!N412*References!$C$62))/100</f>
        <v>0</v>
      </c>
      <c r="R412" s="35">
        <f t="shared" si="64"/>
        <v>0</v>
      </c>
      <c r="S412" s="36">
        <f>O412/'Graphs&amp;Analysis'!$D$24</f>
        <v>0</v>
      </c>
      <c r="T412" s="153"/>
      <c r="U412" s="153"/>
      <c r="W412" s="13" t="str">
        <f t="shared" si="62"/>
        <v/>
      </c>
    </row>
    <row r="413" spans="1:23">
      <c r="A413" s="13" t="str">
        <f>IF(T413="YES",MAX($A$12:A412)+1,"")</f>
        <v/>
      </c>
      <c r="B413" s="20"/>
      <c r="C413" s="5" t="str">
        <f t="shared" si="65"/>
        <v>Transport Category 6</v>
      </c>
      <c r="D413" s="5"/>
      <c r="E413" s="5" t="s">
        <v>52</v>
      </c>
      <c r="F413" s="152"/>
      <c r="G413" s="152"/>
      <c r="H413" s="6"/>
      <c r="I413" s="6"/>
      <c r="J413" s="6"/>
      <c r="K413" s="29">
        <v>500</v>
      </c>
      <c r="L413" s="145">
        <f>$F413*$G413*$H413*Baseline!D$60/References!$C$28</f>
        <v>0</v>
      </c>
      <c r="M413" s="145">
        <f>$F413*$G413*$I413*Baseline!E$60/References!$C$29</f>
        <v>0</v>
      </c>
      <c r="N413" s="145">
        <f>$F413*$G413*$J413*Baseline!F$61/References!$C$30</f>
        <v>0</v>
      </c>
      <c r="O413" s="145">
        <f>((L413*References!$C$28)+(Opportunities!M413*References!$C$29)+(Opportunities!N413*References!$C$30))/1000</f>
        <v>0</v>
      </c>
      <c r="P413" s="38">
        <f t="shared" si="63"/>
        <v>0</v>
      </c>
      <c r="Q413" s="38">
        <f>((L413*References!$C$60)+(Opportunities!M413*References!$C$61)+(Opportunities!N413*References!$C$62))/100</f>
        <v>0</v>
      </c>
      <c r="R413" s="35">
        <f t="shared" si="64"/>
        <v>0</v>
      </c>
      <c r="S413" s="36">
        <f>O413/'Graphs&amp;Analysis'!$D$24</f>
        <v>0</v>
      </c>
      <c r="T413" s="153"/>
      <c r="U413" s="153"/>
      <c r="W413" s="13" t="str">
        <f t="shared" si="62"/>
        <v/>
      </c>
    </row>
    <row r="414" spans="1:23">
      <c r="A414" s="13" t="str">
        <f>IF(T414="YES",MAX($A$12:A413)+1,"")</f>
        <v/>
      </c>
      <c r="B414" s="20"/>
      <c r="C414" s="5" t="str">
        <f t="shared" si="65"/>
        <v>Transport Category 6</v>
      </c>
      <c r="D414" s="5"/>
      <c r="E414" s="5" t="s">
        <v>52</v>
      </c>
      <c r="F414" s="152"/>
      <c r="G414" s="152"/>
      <c r="H414" s="6"/>
      <c r="I414" s="6"/>
      <c r="J414" s="6"/>
      <c r="K414" s="29">
        <v>500</v>
      </c>
      <c r="L414" s="145">
        <f>$F414*$G414*$H414*Baseline!D$60/References!$C$28</f>
        <v>0</v>
      </c>
      <c r="M414" s="145">
        <f>$F414*$G414*$I414*Baseline!E$60/References!$C$29</f>
        <v>0</v>
      </c>
      <c r="N414" s="145">
        <f>$F414*$G414*$J414*Baseline!F$61/References!$C$30</f>
        <v>0</v>
      </c>
      <c r="O414" s="145">
        <f>((L414*References!$C$28)+(Opportunities!M414*References!$C$29)+(Opportunities!N414*References!$C$30))/1000</f>
        <v>0</v>
      </c>
      <c r="P414" s="38">
        <f t="shared" si="63"/>
        <v>0</v>
      </c>
      <c r="Q414" s="38">
        <f>((L414*References!$C$60)+(Opportunities!M414*References!$C$61)+(Opportunities!N414*References!$C$62))/100</f>
        <v>0</v>
      </c>
      <c r="R414" s="35">
        <f t="shared" si="64"/>
        <v>0</v>
      </c>
      <c r="S414" s="36">
        <f>O414/'Graphs&amp;Analysis'!$D$24</f>
        <v>0</v>
      </c>
      <c r="T414" s="153"/>
      <c r="U414" s="153"/>
      <c r="W414" s="13" t="str">
        <f t="shared" si="62"/>
        <v/>
      </c>
    </row>
    <row r="415" spans="1:23">
      <c r="A415" s="13" t="str">
        <f>IF(T415="YES",MAX($A$12:A414)+1,"")</f>
        <v/>
      </c>
      <c r="B415" s="20"/>
      <c r="C415" s="5" t="str">
        <f t="shared" si="65"/>
        <v>Transport Category 6</v>
      </c>
      <c r="D415" s="5"/>
      <c r="E415" s="5" t="s">
        <v>52</v>
      </c>
      <c r="F415" s="152"/>
      <c r="G415" s="152"/>
      <c r="H415" s="6"/>
      <c r="I415" s="6"/>
      <c r="J415" s="6"/>
      <c r="K415" s="29">
        <v>500</v>
      </c>
      <c r="L415" s="145">
        <f>$F415*$G415*$H415*Baseline!D$60/References!$C$28</f>
        <v>0</v>
      </c>
      <c r="M415" s="145">
        <f>$F415*$G415*$I415*Baseline!E$60/References!$C$29</f>
        <v>0</v>
      </c>
      <c r="N415" s="145">
        <f>$F415*$G415*$J415*Baseline!F$61/References!$C$30</f>
        <v>0</v>
      </c>
      <c r="O415" s="145">
        <f>((L415*References!$C$28)+(Opportunities!M415*References!$C$29)+(Opportunities!N415*References!$C$30))/1000</f>
        <v>0</v>
      </c>
      <c r="P415" s="38">
        <f>O415*K415</f>
        <v>0</v>
      </c>
      <c r="Q415" s="38">
        <f>((L415*References!$C$60)+(Opportunities!M415*References!$C$61)+(Opportunities!N415*References!$C$62))/100</f>
        <v>0</v>
      </c>
      <c r="R415" s="35">
        <f t="shared" si="64"/>
        <v>0</v>
      </c>
      <c r="S415" s="36">
        <f>O415/'Graphs&amp;Analysis'!$D$24</f>
        <v>0</v>
      </c>
      <c r="T415" s="153"/>
      <c r="U415" s="153"/>
      <c r="W415" s="13" t="str">
        <f t="shared" si="62"/>
        <v/>
      </c>
    </row>
    <row r="416" spans="1:23">
      <c r="A416" s="13" t="str">
        <f>IF(T416="YES",MAX($A$12:A415)+1,"")</f>
        <v/>
      </c>
      <c r="B416" s="20"/>
      <c r="C416" s="5" t="str">
        <f t="shared" si="65"/>
        <v>Transport Category 6</v>
      </c>
      <c r="D416" s="5"/>
      <c r="E416" s="5" t="s">
        <v>52</v>
      </c>
      <c r="F416" s="152"/>
      <c r="G416" s="152"/>
      <c r="H416" s="6"/>
      <c r="I416" s="6"/>
      <c r="J416" s="6"/>
      <c r="K416" s="29">
        <v>500</v>
      </c>
      <c r="L416" s="145">
        <f>$F416*$G416*$H416*Baseline!D$60/References!$C$28</f>
        <v>0</v>
      </c>
      <c r="M416" s="145">
        <f>$F416*$G416*$I416*Baseline!E$60/References!$C$29</f>
        <v>0</v>
      </c>
      <c r="N416" s="145">
        <f>$F416*$G416*$J416*Baseline!F$61/References!$C$30</f>
        <v>0</v>
      </c>
      <c r="O416" s="145">
        <f>((L416*References!$C$28)+(Opportunities!M416*References!$C$29)+(Opportunities!N416*References!$C$30))/1000</f>
        <v>0</v>
      </c>
      <c r="P416" s="38">
        <f>O416*K416</f>
        <v>0</v>
      </c>
      <c r="Q416" s="38">
        <f>((L416*References!$C$60)+(Opportunities!M416*References!$C$61)+(Opportunities!N416*References!$C$62))/100</f>
        <v>0</v>
      </c>
      <c r="R416" s="35">
        <f t="shared" si="64"/>
        <v>0</v>
      </c>
      <c r="S416" s="36">
        <f>O416/'Graphs&amp;Analysis'!$D$24</f>
        <v>0</v>
      </c>
      <c r="T416" s="153"/>
      <c r="U416" s="153"/>
      <c r="W416" s="13" t="str">
        <f t="shared" si="62"/>
        <v/>
      </c>
    </row>
    <row r="417" spans="1:23">
      <c r="A417" s="13" t="str">
        <f>IF(T417="YES",MAX($A$12:A416)+1,"")</f>
        <v/>
      </c>
      <c r="B417" s="20"/>
      <c r="C417" s="5" t="str">
        <f t="shared" si="65"/>
        <v>Transport Category 6</v>
      </c>
      <c r="D417" s="5"/>
      <c r="E417" s="5" t="s">
        <v>52</v>
      </c>
      <c r="F417" s="152"/>
      <c r="G417" s="152"/>
      <c r="H417" s="6"/>
      <c r="I417" s="6"/>
      <c r="J417" s="6"/>
      <c r="K417" s="29">
        <v>500</v>
      </c>
      <c r="L417" s="145">
        <f>$F417*$G417*$H417*Baseline!D$60/References!$C$28</f>
        <v>0</v>
      </c>
      <c r="M417" s="145">
        <f>$F417*$G417*$I417*Baseline!E$60/References!$C$29</f>
        <v>0</v>
      </c>
      <c r="N417" s="145">
        <f>$F417*$G417*$J417*Baseline!F$61/References!$C$30</f>
        <v>0</v>
      </c>
      <c r="O417" s="145">
        <f>((L417*References!$C$28)+(Opportunities!M417*References!$C$29)+(Opportunities!N417*References!$C$30))/1000</f>
        <v>0</v>
      </c>
      <c r="P417" s="38">
        <f>O417*K417</f>
        <v>0</v>
      </c>
      <c r="Q417" s="38">
        <f>((L417*References!$C$60)+(Opportunities!M417*References!$C$61)+(Opportunities!N417*References!$C$62))/100</f>
        <v>0</v>
      </c>
      <c r="R417" s="35">
        <f t="shared" si="64"/>
        <v>0</v>
      </c>
      <c r="S417" s="36">
        <f>O417/'Graphs&amp;Analysis'!$D$24</f>
        <v>0</v>
      </c>
      <c r="T417" s="153"/>
      <c r="U417" s="153"/>
      <c r="W417" s="13" t="str">
        <f t="shared" si="62"/>
        <v/>
      </c>
    </row>
    <row r="418" spans="1:23">
      <c r="A418" s="13" t="str">
        <f>IF(T418="YES",MAX($A$12:A417)+1,"")</f>
        <v/>
      </c>
      <c r="C418" s="23"/>
      <c r="D418" s="23"/>
      <c r="E418" s="79"/>
      <c r="F418" s="23"/>
      <c r="G418" s="23"/>
      <c r="H418" s="79"/>
      <c r="I418" s="74"/>
      <c r="J418" s="23"/>
      <c r="K418" s="23"/>
      <c r="L418" s="23"/>
      <c r="M418" s="23"/>
      <c r="N418" s="23"/>
      <c r="O418" s="23"/>
      <c r="P418" s="23"/>
      <c r="Q418" s="23"/>
      <c r="R418" s="23"/>
      <c r="S418" s="23"/>
      <c r="T418" s="23"/>
      <c r="U418" s="23"/>
    </row>
    <row r="419" spans="1:23">
      <c r="A419" s="13" t="str">
        <f>IF(T419="YES",MAX($A$12:A418)+1,"")</f>
        <v/>
      </c>
      <c r="B419" s="252" t="s">
        <v>128</v>
      </c>
      <c r="C419" s="252"/>
      <c r="D419" s="71"/>
      <c r="H419" s="16"/>
      <c r="I419" s="67"/>
      <c r="K419" s="68"/>
      <c r="L419" s="68"/>
      <c r="M419" s="68"/>
      <c r="N419" s="68" t="s">
        <v>3</v>
      </c>
      <c r="O419" s="69">
        <f>SUM(O408:O417)</f>
        <v>0</v>
      </c>
      <c r="P419" s="69"/>
    </row>
    <row r="420" spans="1:23">
      <c r="A420" s="13" t="str">
        <f>IF(T420="YES",MAX($A$12:A419)+1,"")</f>
        <v/>
      </c>
      <c r="H420" s="16"/>
      <c r="I420" s="67"/>
      <c r="K420" s="68"/>
      <c r="L420" s="68"/>
      <c r="M420" s="68"/>
      <c r="N420" s="68" t="str">
        <f>CONCATENATE("Savings as a % of  ",C408," emissions")</f>
        <v>Savings as a % of  Transport Category 6 emissions</v>
      </c>
      <c r="O420" s="186" t="e">
        <f>O419/Baseline!$G$65</f>
        <v>#DIV/0!</v>
      </c>
    </row>
    <row r="421" spans="1:23">
      <c r="A421" s="13" t="str">
        <f>IF(T421="YES",MAX($A$12:A420)+1,"")</f>
        <v/>
      </c>
    </row>
    <row r="422" spans="1:23">
      <c r="A422" s="13" t="str">
        <f>IF(T422="YES",MAX($A$12:A421)+1,"")</f>
        <v/>
      </c>
    </row>
    <row r="423" spans="1:23" ht="18">
      <c r="A423" s="13" t="str">
        <f>IF(T423="YES",MAX($A$12:A422)+1,"")</f>
        <v/>
      </c>
      <c r="B423" s="187"/>
      <c r="C423" s="188" t="s">
        <v>202</v>
      </c>
      <c r="D423" s="176"/>
      <c r="E423" s="238"/>
      <c r="F423" s="176"/>
      <c r="G423" s="176"/>
      <c r="H423" s="176"/>
      <c r="I423" s="176"/>
      <c r="J423" s="176"/>
      <c r="K423" s="176"/>
      <c r="L423" s="176"/>
      <c r="M423" s="176"/>
      <c r="N423" s="176"/>
      <c r="O423" s="176"/>
      <c r="P423" s="176"/>
      <c r="Q423" s="176"/>
      <c r="R423" s="176"/>
      <c r="S423" s="176"/>
      <c r="T423" s="176"/>
      <c r="U423" s="176"/>
      <c r="V423" s="182"/>
    </row>
    <row r="424" spans="1:23">
      <c r="A424" s="13" t="str">
        <f>IF(T424="YES",MAX($A$12:A423)+1,"")</f>
        <v/>
      </c>
      <c r="B424" s="20"/>
      <c r="C424" s="248" t="s">
        <v>151</v>
      </c>
      <c r="D424" s="250"/>
      <c r="E424" s="248" t="s">
        <v>59</v>
      </c>
      <c r="F424" s="248" t="s">
        <v>7</v>
      </c>
      <c r="G424" s="248" t="s">
        <v>8</v>
      </c>
      <c r="H424" s="256" t="s">
        <v>58</v>
      </c>
      <c r="I424" s="257"/>
      <c r="J424" s="258"/>
      <c r="K424" s="250" t="s">
        <v>109</v>
      </c>
      <c r="L424" s="248" t="s">
        <v>213</v>
      </c>
      <c r="M424" s="248" t="s">
        <v>214</v>
      </c>
      <c r="N424" s="248" t="s">
        <v>215</v>
      </c>
      <c r="O424" s="249" t="s">
        <v>14</v>
      </c>
      <c r="P424" s="248" t="s">
        <v>108</v>
      </c>
      <c r="Q424" s="248" t="s">
        <v>111</v>
      </c>
      <c r="R424" s="248" t="s">
        <v>150</v>
      </c>
      <c r="S424" s="248" t="s">
        <v>77</v>
      </c>
      <c r="T424" s="248" t="s">
        <v>110</v>
      </c>
      <c r="U424" s="248" t="s">
        <v>160</v>
      </c>
    </row>
    <row r="425" spans="1:23" ht="38.25" customHeight="1">
      <c r="A425" s="13" t="str">
        <f>IF(T425="YES",MAX($A$12:A424)+1,"")</f>
        <v/>
      </c>
      <c r="B425" s="20"/>
      <c r="C425" s="248"/>
      <c r="D425" s="251"/>
      <c r="E425" s="248"/>
      <c r="F425" s="248"/>
      <c r="G425" s="248"/>
      <c r="H425" s="10" t="s">
        <v>118</v>
      </c>
      <c r="I425" s="10" t="s">
        <v>119</v>
      </c>
      <c r="J425" s="10" t="s">
        <v>204</v>
      </c>
      <c r="K425" s="251"/>
      <c r="L425" s="248"/>
      <c r="M425" s="248"/>
      <c r="N425" s="248"/>
      <c r="O425" s="249"/>
      <c r="P425" s="248"/>
      <c r="Q425" s="248"/>
      <c r="R425" s="248"/>
      <c r="S425" s="248"/>
      <c r="T425" s="248"/>
      <c r="U425" s="248"/>
    </row>
    <row r="426" spans="1:23">
      <c r="A426" s="13" t="str">
        <f>IF(T426="YES",MAX($A$12:A425)+1,"")</f>
        <v/>
      </c>
      <c r="B426" s="20"/>
      <c r="C426" s="5" t="str">
        <f>Baseline!C61</f>
        <v>Transport Category 7</v>
      </c>
      <c r="D426" s="5"/>
      <c r="E426" s="5" t="s">
        <v>158</v>
      </c>
      <c r="F426" s="152"/>
      <c r="G426" s="152"/>
      <c r="H426" s="6">
        <v>0.1</v>
      </c>
      <c r="I426" s="6">
        <v>0.1</v>
      </c>
      <c r="J426" s="6">
        <v>0.1</v>
      </c>
      <c r="K426" s="29">
        <v>500</v>
      </c>
      <c r="L426" s="145">
        <f>$F426*$G426*$H426*Baseline!D$61/References!$C$28</f>
        <v>0</v>
      </c>
      <c r="M426" s="145">
        <f>$F426*$G426*$I426*Baseline!E$61/References!$C$29</f>
        <v>0</v>
      </c>
      <c r="N426" s="145">
        <f>$F426*$G426*$J426*Baseline!F$61/References!$C$30</f>
        <v>0</v>
      </c>
      <c r="O426" s="145">
        <f>((L426*References!$C$28)+(Opportunities!M426*References!$C$29)+(Opportunities!N426*References!$C$30))/1000</f>
        <v>0</v>
      </c>
      <c r="P426" s="38">
        <f>O426*K426</f>
        <v>0</v>
      </c>
      <c r="Q426" s="38">
        <f>((L426*References!$C$60)+(Opportunities!M426*References!$C$61)+(Opportunities!N426*References!$C$62))/100</f>
        <v>0</v>
      </c>
      <c r="R426" s="35">
        <f>IF(ISERROR(P426/Q426),0,P426/Q426)</f>
        <v>0</v>
      </c>
      <c r="S426" s="185">
        <f>O426/'Graphs&amp;Analysis'!$D$24</f>
        <v>0</v>
      </c>
      <c r="T426" s="153"/>
      <c r="U426" s="153"/>
      <c r="W426" s="13" t="str">
        <f t="shared" ref="W426:W435" si="66">IF(O426&gt;0,IF(N426&gt;0,"Air", "Road"),"")</f>
        <v/>
      </c>
    </row>
    <row r="427" spans="1:23" ht="25.5">
      <c r="A427" s="13" t="str">
        <f>IF(T427="YES",MAX($A$12:A426)+1,"")</f>
        <v/>
      </c>
      <c r="B427" s="20"/>
      <c r="C427" s="5" t="str">
        <f>C426</f>
        <v>Transport Category 7</v>
      </c>
      <c r="D427" s="5"/>
      <c r="E427" s="5" t="s">
        <v>60</v>
      </c>
      <c r="F427" s="152"/>
      <c r="G427" s="152"/>
      <c r="H427" s="6">
        <v>0.5</v>
      </c>
      <c r="I427" s="6">
        <v>0.5</v>
      </c>
      <c r="J427" s="6">
        <v>0.5</v>
      </c>
      <c r="K427" s="29">
        <v>500</v>
      </c>
      <c r="L427" s="145">
        <f>$F427*$G427*$H427*Baseline!D$61/References!$C$28</f>
        <v>0</v>
      </c>
      <c r="M427" s="145">
        <f>$F427*$G427*$I427*Baseline!E$61/References!$C$29</f>
        <v>0</v>
      </c>
      <c r="N427" s="145">
        <f>$F427*$G427*$J427*Baseline!F$61/References!$C$30</f>
        <v>0</v>
      </c>
      <c r="O427" s="145">
        <f>((L427*References!$C$28)+(Opportunities!M427*References!$C$29)+(Opportunities!N427*References!$C$30))/1000</f>
        <v>0</v>
      </c>
      <c r="P427" s="38">
        <f t="shared" ref="P427:P432" si="67">O427*K427</f>
        <v>0</v>
      </c>
      <c r="Q427" s="38">
        <f>((L427*References!$C$60)+(Opportunities!M427*References!$C$61)+(Opportunities!N427*References!$C$62))/100</f>
        <v>0</v>
      </c>
      <c r="R427" s="35">
        <f t="shared" ref="R427:R435" si="68">IF(ISERROR(P427/Q427),0,P427/Q427)</f>
        <v>0</v>
      </c>
      <c r="S427" s="36">
        <f>O427/'Graphs&amp;Analysis'!$D$24</f>
        <v>0</v>
      </c>
      <c r="T427" s="153"/>
      <c r="U427" s="153"/>
      <c r="W427" s="13" t="str">
        <f t="shared" si="66"/>
        <v/>
      </c>
    </row>
    <row r="428" spans="1:23" ht="25.5">
      <c r="A428" s="13" t="str">
        <f>IF(T428="YES",MAX($A$12:A427)+1,"")</f>
        <v/>
      </c>
      <c r="B428" s="20"/>
      <c r="C428" s="5" t="str">
        <f t="shared" ref="C428:C435" si="69">C427</f>
        <v>Transport Category 7</v>
      </c>
      <c r="D428" s="5"/>
      <c r="E428" s="5" t="s">
        <v>61</v>
      </c>
      <c r="F428" s="152"/>
      <c r="G428" s="152"/>
      <c r="H428" s="6"/>
      <c r="I428" s="6">
        <v>0.05</v>
      </c>
      <c r="J428" s="6"/>
      <c r="K428" s="29">
        <v>500</v>
      </c>
      <c r="L428" s="145">
        <f>$F428*$G428*$H428*Baseline!D$61/References!$C$28</f>
        <v>0</v>
      </c>
      <c r="M428" s="145">
        <f>$F428*$G428*$I428*Baseline!E$61/References!$C$29</f>
        <v>0</v>
      </c>
      <c r="N428" s="145">
        <f>$F428*$G428*$J428*Baseline!F$61/References!$C$30</f>
        <v>0</v>
      </c>
      <c r="O428" s="145">
        <f>((L428*References!$C$28)+(Opportunities!M428*References!$C$29)+(Opportunities!N428*References!$C$30))/1000</f>
        <v>0</v>
      </c>
      <c r="P428" s="38">
        <f t="shared" si="67"/>
        <v>0</v>
      </c>
      <c r="Q428" s="38">
        <f>((L428*References!$C$60)+(Opportunities!M428*References!$C$61)+(Opportunities!N428*References!$C$62))/100</f>
        <v>0</v>
      </c>
      <c r="R428" s="35">
        <f t="shared" si="68"/>
        <v>0</v>
      </c>
      <c r="S428" s="36">
        <f>O428/'Graphs&amp;Analysis'!$D$24</f>
        <v>0</v>
      </c>
      <c r="T428" s="153"/>
      <c r="U428" s="153"/>
      <c r="W428" s="13" t="str">
        <f t="shared" si="66"/>
        <v/>
      </c>
    </row>
    <row r="429" spans="1:23">
      <c r="A429" s="13" t="str">
        <f>IF(T429="YES",MAX($A$12:A428)+1,"")</f>
        <v/>
      </c>
      <c r="B429" s="20"/>
      <c r="C429" s="5" t="str">
        <f t="shared" si="69"/>
        <v>Transport Category 7</v>
      </c>
      <c r="D429" s="5"/>
      <c r="E429" s="5" t="s">
        <v>62</v>
      </c>
      <c r="F429" s="152"/>
      <c r="G429" s="152"/>
      <c r="H429" s="6">
        <v>0.1</v>
      </c>
      <c r="I429" s="6">
        <v>0.1</v>
      </c>
      <c r="J429" s="6">
        <v>0.1</v>
      </c>
      <c r="K429" s="29">
        <v>500</v>
      </c>
      <c r="L429" s="145">
        <f>$F429*$G429*$H429*Baseline!D$61/References!$C$28</f>
        <v>0</v>
      </c>
      <c r="M429" s="145">
        <f>$F429*$G429*$I429*Baseline!E$61/References!$C$29</f>
        <v>0</v>
      </c>
      <c r="N429" s="145">
        <f>$F429*$G429*$J429*Baseline!F$61/References!$C$30</f>
        <v>0</v>
      </c>
      <c r="O429" s="145">
        <f>((L429*References!$C$28)+(Opportunities!M429*References!$C$29)+(Opportunities!N429*References!$C$30))/1000</f>
        <v>0</v>
      </c>
      <c r="P429" s="38">
        <f t="shared" si="67"/>
        <v>0</v>
      </c>
      <c r="Q429" s="38">
        <f>((L429*References!$C$60)+(Opportunities!M429*References!$C$61)+(Opportunities!N429*References!$C$62))/100</f>
        <v>0</v>
      </c>
      <c r="R429" s="35">
        <f t="shared" si="68"/>
        <v>0</v>
      </c>
      <c r="S429" s="36">
        <f>O429/'Graphs&amp;Analysis'!$D$24</f>
        <v>0</v>
      </c>
      <c r="T429" s="153"/>
      <c r="U429" s="153"/>
      <c r="W429" s="13" t="str">
        <f t="shared" si="66"/>
        <v/>
      </c>
    </row>
    <row r="430" spans="1:23" ht="25.5">
      <c r="A430" s="13" t="str">
        <f>IF(T430="YES",MAX($A$12:A429)+1,"")</f>
        <v/>
      </c>
      <c r="B430" s="20"/>
      <c r="C430" s="5" t="str">
        <f t="shared" si="69"/>
        <v>Transport Category 7</v>
      </c>
      <c r="D430" s="5"/>
      <c r="E430" s="5" t="s">
        <v>63</v>
      </c>
      <c r="F430" s="152"/>
      <c r="G430" s="152"/>
      <c r="H430" s="6">
        <v>0.1</v>
      </c>
      <c r="I430" s="6">
        <v>0.1</v>
      </c>
      <c r="J430" s="6">
        <v>0.1</v>
      </c>
      <c r="K430" s="29">
        <v>500</v>
      </c>
      <c r="L430" s="145">
        <f>$F430*$G430*$H430*Baseline!D$61/References!$C$28</f>
        <v>0</v>
      </c>
      <c r="M430" s="145">
        <f>$F430*$G430*$I430*Baseline!E$61/References!$C$29</f>
        <v>0</v>
      </c>
      <c r="N430" s="145">
        <f>$F430*$G430*$J430*Baseline!F$61/References!$C$30</f>
        <v>0</v>
      </c>
      <c r="O430" s="145">
        <f>((L430*References!$C$28)+(Opportunities!M430*References!$C$29)+(Opportunities!N430*References!$C$30))/1000</f>
        <v>0</v>
      </c>
      <c r="P430" s="38">
        <f t="shared" si="67"/>
        <v>0</v>
      </c>
      <c r="Q430" s="38">
        <f>((L430*References!$C$60)+(Opportunities!M430*References!$C$61)+(Opportunities!N430*References!$C$62))/100</f>
        <v>0</v>
      </c>
      <c r="R430" s="35">
        <f t="shared" si="68"/>
        <v>0</v>
      </c>
      <c r="S430" s="36">
        <f>O430/'Graphs&amp;Analysis'!$D$24</f>
        <v>0</v>
      </c>
      <c r="T430" s="153"/>
      <c r="U430" s="153"/>
      <c r="W430" s="13" t="str">
        <f t="shared" si="66"/>
        <v/>
      </c>
    </row>
    <row r="431" spans="1:23">
      <c r="A431" s="13" t="str">
        <f>IF(T431="YES",MAX($A$12:A430)+1,"")</f>
        <v/>
      </c>
      <c r="B431" s="20"/>
      <c r="C431" s="5" t="str">
        <f t="shared" si="69"/>
        <v>Transport Category 7</v>
      </c>
      <c r="D431" s="5"/>
      <c r="E431" s="5" t="s">
        <v>52</v>
      </c>
      <c r="F431" s="152"/>
      <c r="G431" s="152"/>
      <c r="H431" s="6"/>
      <c r="I431" s="6"/>
      <c r="J431" s="6"/>
      <c r="K431" s="29">
        <v>500</v>
      </c>
      <c r="L431" s="145">
        <f>$F431*$G431*$H431*Baseline!D$61/References!$C$28</f>
        <v>0</v>
      </c>
      <c r="M431" s="145">
        <f>$F431*$G431*$I431*Baseline!E$61/References!$C$29</f>
        <v>0</v>
      </c>
      <c r="N431" s="145">
        <f>$F431*$G431*$J431*Baseline!F$61/References!$C$30</f>
        <v>0</v>
      </c>
      <c r="O431" s="145">
        <f>((L431*References!$C$28)+(Opportunities!M431*References!$C$29)+(Opportunities!N431*References!$C$30))/1000</f>
        <v>0</v>
      </c>
      <c r="P431" s="38">
        <f t="shared" si="67"/>
        <v>0</v>
      </c>
      <c r="Q431" s="38">
        <f>((L431*References!$C$60)+(Opportunities!M431*References!$C$61)+(Opportunities!N431*References!$C$62))/100</f>
        <v>0</v>
      </c>
      <c r="R431" s="35">
        <f t="shared" si="68"/>
        <v>0</v>
      </c>
      <c r="S431" s="36">
        <f>O431/'Graphs&amp;Analysis'!$D$24</f>
        <v>0</v>
      </c>
      <c r="T431" s="153"/>
      <c r="U431" s="153"/>
      <c r="W431" s="13" t="str">
        <f t="shared" si="66"/>
        <v/>
      </c>
    </row>
    <row r="432" spans="1:23">
      <c r="A432" s="13" t="str">
        <f>IF(T432="YES",MAX($A$12:A431)+1,"")</f>
        <v/>
      </c>
      <c r="B432" s="20"/>
      <c r="C432" s="5" t="str">
        <f t="shared" si="69"/>
        <v>Transport Category 7</v>
      </c>
      <c r="D432" s="5"/>
      <c r="E432" s="5" t="s">
        <v>52</v>
      </c>
      <c r="F432" s="152"/>
      <c r="G432" s="152"/>
      <c r="H432" s="6"/>
      <c r="I432" s="6"/>
      <c r="J432" s="6"/>
      <c r="K432" s="29">
        <v>500</v>
      </c>
      <c r="L432" s="145">
        <f>$F432*$G432*$H432*Baseline!D$61/References!$C$28</f>
        <v>0</v>
      </c>
      <c r="M432" s="145">
        <f>$F432*$G432*$I432*Baseline!E$61/References!$C$29</f>
        <v>0</v>
      </c>
      <c r="N432" s="145">
        <f>$F432*$G432*$J432*Baseline!F$61/References!$C$30</f>
        <v>0</v>
      </c>
      <c r="O432" s="145">
        <f>((L432*References!$C$28)+(Opportunities!M432*References!$C$29)+(Opportunities!N432*References!$C$30))/1000</f>
        <v>0</v>
      </c>
      <c r="P432" s="38">
        <f t="shared" si="67"/>
        <v>0</v>
      </c>
      <c r="Q432" s="38">
        <f>((L432*References!$C$60)+(Opportunities!M432*References!$C$61)+(Opportunities!N432*References!$C$62))/100</f>
        <v>0</v>
      </c>
      <c r="R432" s="35">
        <f t="shared" si="68"/>
        <v>0</v>
      </c>
      <c r="S432" s="36">
        <f>O432/'Graphs&amp;Analysis'!$D$24</f>
        <v>0</v>
      </c>
      <c r="T432" s="153"/>
      <c r="U432" s="153"/>
      <c r="W432" s="13" t="str">
        <f t="shared" si="66"/>
        <v/>
      </c>
    </row>
    <row r="433" spans="1:23">
      <c r="A433" s="13" t="str">
        <f>IF(T433="YES",MAX($A$12:A432)+1,"")</f>
        <v/>
      </c>
      <c r="B433" s="20"/>
      <c r="C433" s="5" t="str">
        <f t="shared" si="69"/>
        <v>Transport Category 7</v>
      </c>
      <c r="D433" s="5"/>
      <c r="E433" s="5" t="s">
        <v>52</v>
      </c>
      <c r="F433" s="152"/>
      <c r="G433" s="152"/>
      <c r="H433" s="6"/>
      <c r="I433" s="6"/>
      <c r="J433" s="6"/>
      <c r="K433" s="29">
        <v>500</v>
      </c>
      <c r="L433" s="145">
        <f>$F433*$G433*$H433*Baseline!D$61/References!$C$28</f>
        <v>0</v>
      </c>
      <c r="M433" s="145">
        <f>$F433*$G433*$I433*Baseline!E$61/References!$C$29</f>
        <v>0</v>
      </c>
      <c r="N433" s="145">
        <f>$F433*$G433*$J433*Baseline!F$61/References!$C$30</f>
        <v>0</v>
      </c>
      <c r="O433" s="145">
        <f>((L433*References!$C$28)+(Opportunities!M433*References!$C$29)+(Opportunities!N433*References!$C$30))/1000</f>
        <v>0</v>
      </c>
      <c r="P433" s="38">
        <f>O433*K433</f>
        <v>0</v>
      </c>
      <c r="Q433" s="38">
        <f>((L433*References!$C$60)+(Opportunities!M433*References!$C$61)+(Opportunities!N433*References!$C$62))/100</f>
        <v>0</v>
      </c>
      <c r="R433" s="35">
        <f t="shared" si="68"/>
        <v>0</v>
      </c>
      <c r="S433" s="36">
        <f>O433/'Graphs&amp;Analysis'!$D$24</f>
        <v>0</v>
      </c>
      <c r="T433" s="153"/>
      <c r="U433" s="153"/>
      <c r="W433" s="13" t="str">
        <f t="shared" si="66"/>
        <v/>
      </c>
    </row>
    <row r="434" spans="1:23">
      <c r="A434" s="13" t="str">
        <f>IF(T434="YES",MAX($A$12:A433)+1,"")</f>
        <v/>
      </c>
      <c r="B434" s="20"/>
      <c r="C434" s="5" t="str">
        <f t="shared" si="69"/>
        <v>Transport Category 7</v>
      </c>
      <c r="D434" s="5"/>
      <c r="E434" s="5" t="s">
        <v>52</v>
      </c>
      <c r="F434" s="152"/>
      <c r="G434" s="152"/>
      <c r="H434" s="6"/>
      <c r="I434" s="6"/>
      <c r="J434" s="6"/>
      <c r="K434" s="29">
        <v>500</v>
      </c>
      <c r="L434" s="145">
        <f>$F434*$G434*$H434*Baseline!D$61/References!$C$28</f>
        <v>0</v>
      </c>
      <c r="M434" s="145">
        <f>$F434*$G434*$I434*Baseline!E$61/References!$C$29</f>
        <v>0</v>
      </c>
      <c r="N434" s="145">
        <f>$F434*$G434*$J434*Baseline!F$61/References!$C$30</f>
        <v>0</v>
      </c>
      <c r="O434" s="145">
        <f>((L434*References!$C$28)+(Opportunities!M434*References!$C$29)+(Opportunities!N434*References!$C$30))/1000</f>
        <v>0</v>
      </c>
      <c r="P434" s="38">
        <f>O434*K434</f>
        <v>0</v>
      </c>
      <c r="Q434" s="38">
        <f>((L434*References!$C$60)+(Opportunities!M434*References!$C$61)+(Opportunities!N434*References!$C$62))/100</f>
        <v>0</v>
      </c>
      <c r="R434" s="35">
        <f t="shared" si="68"/>
        <v>0</v>
      </c>
      <c r="S434" s="36">
        <f>O434/'Graphs&amp;Analysis'!$D$24</f>
        <v>0</v>
      </c>
      <c r="T434" s="153"/>
      <c r="U434" s="153"/>
      <c r="W434" s="13" t="str">
        <f t="shared" si="66"/>
        <v/>
      </c>
    </row>
    <row r="435" spans="1:23">
      <c r="A435" s="13" t="str">
        <f>IF(T435="YES",MAX($A$12:A434)+1,"")</f>
        <v/>
      </c>
      <c r="B435" s="20"/>
      <c r="C435" s="5" t="str">
        <f t="shared" si="69"/>
        <v>Transport Category 7</v>
      </c>
      <c r="D435" s="5"/>
      <c r="E435" s="5" t="s">
        <v>52</v>
      </c>
      <c r="F435" s="152"/>
      <c r="G435" s="152"/>
      <c r="H435" s="6"/>
      <c r="I435" s="6"/>
      <c r="J435" s="6"/>
      <c r="K435" s="29">
        <v>500</v>
      </c>
      <c r="L435" s="145">
        <f>$F435*$G435*$H435*Baseline!D$61/References!$C$28</f>
        <v>0</v>
      </c>
      <c r="M435" s="145">
        <f>$F435*$G435*$I435*Baseline!E$61/References!$C$29</f>
        <v>0</v>
      </c>
      <c r="N435" s="145">
        <f>$F435*$G435*$J435*Baseline!F$61/References!$C$30</f>
        <v>0</v>
      </c>
      <c r="O435" s="145">
        <f>((L435*References!$C$28)+(Opportunities!M435*References!$C$29)+(Opportunities!N435*References!$C$30))/1000</f>
        <v>0</v>
      </c>
      <c r="P435" s="38">
        <f>O435*K435</f>
        <v>0</v>
      </c>
      <c r="Q435" s="38">
        <f>((L435*References!$C$60)+(Opportunities!M435*References!$C$61)+(Opportunities!N435*References!$C$62))/100</f>
        <v>0</v>
      </c>
      <c r="R435" s="35">
        <f t="shared" si="68"/>
        <v>0</v>
      </c>
      <c r="S435" s="36">
        <f>O435/'Graphs&amp;Analysis'!$D$24</f>
        <v>0</v>
      </c>
      <c r="T435" s="153"/>
      <c r="U435" s="153"/>
      <c r="W435" s="13" t="str">
        <f t="shared" si="66"/>
        <v/>
      </c>
    </row>
    <row r="436" spans="1:23">
      <c r="A436" s="13" t="str">
        <f>IF(T436="YES",MAX($A$12:A435)+1,"")</f>
        <v/>
      </c>
      <c r="C436" s="23"/>
      <c r="D436" s="23"/>
      <c r="E436" s="79"/>
      <c r="F436" s="23"/>
      <c r="G436" s="23"/>
      <c r="H436" s="79"/>
      <c r="I436" s="74"/>
      <c r="J436" s="23"/>
      <c r="K436" s="23"/>
      <c r="L436" s="23"/>
      <c r="M436" s="23"/>
      <c r="N436" s="23"/>
      <c r="O436" s="23"/>
      <c r="P436" s="23"/>
      <c r="Q436" s="23"/>
      <c r="R436" s="23"/>
      <c r="S436" s="23"/>
      <c r="T436" s="23"/>
      <c r="U436" s="23"/>
    </row>
    <row r="437" spans="1:23">
      <c r="A437" s="13" t="str">
        <f>IF(T437="YES",MAX($A$12:A436)+1,"")</f>
        <v/>
      </c>
      <c r="B437" s="252" t="s">
        <v>128</v>
      </c>
      <c r="C437" s="252"/>
      <c r="D437" s="71"/>
      <c r="H437" s="16"/>
      <c r="I437" s="67"/>
      <c r="K437" s="68"/>
      <c r="L437" s="68"/>
      <c r="M437" s="68"/>
      <c r="N437" s="68" t="s">
        <v>3</v>
      </c>
      <c r="O437" s="69">
        <f>SUM(O426:O435)</f>
        <v>0</v>
      </c>
      <c r="P437" s="69"/>
    </row>
    <row r="438" spans="1:23">
      <c r="A438" s="13" t="str">
        <f>IF(T438="YES",MAX($A$12:A437)+1,"")</f>
        <v/>
      </c>
      <c r="H438" s="16"/>
      <c r="I438" s="67"/>
      <c r="K438" s="68"/>
      <c r="L438" s="68"/>
      <c r="M438" s="68"/>
      <c r="N438" s="68" t="str">
        <f>CONCATENATE("Savings as a % of  ",C426," emissions")</f>
        <v>Savings as a % of  Transport Category 7 emissions</v>
      </c>
      <c r="O438" s="186" t="e">
        <f>O437/Baseline!$G$65</f>
        <v>#DIV/0!</v>
      </c>
    </row>
    <row r="439" spans="1:23">
      <c r="A439" s="13" t="str">
        <f>IF(T439="YES",MAX($A$12:A438)+1,"")</f>
        <v/>
      </c>
    </row>
    <row r="440" spans="1:23">
      <c r="A440" s="13" t="str">
        <f>IF(T440="YES",MAX($A$12:A439)+1,"")</f>
        <v/>
      </c>
    </row>
    <row r="441" spans="1:23" ht="18">
      <c r="A441" s="13" t="str">
        <f>IF(T441="YES",MAX($A$12:A440)+1,"")</f>
        <v/>
      </c>
      <c r="B441" s="72" t="s">
        <v>64</v>
      </c>
      <c r="C441" s="81"/>
      <c r="D441" s="81"/>
      <c r="E441" s="237"/>
      <c r="F441" s="22"/>
      <c r="G441" s="22"/>
      <c r="H441" s="22"/>
      <c r="I441" s="22"/>
      <c r="J441" s="22"/>
      <c r="K441" s="22"/>
      <c r="M441" s="22"/>
      <c r="N441" s="22"/>
      <c r="O441" s="22"/>
      <c r="P441" s="22"/>
      <c r="Q441" s="22"/>
      <c r="R441" s="22"/>
      <c r="S441" s="22"/>
      <c r="T441" s="22"/>
      <c r="U441" s="22"/>
    </row>
    <row r="442" spans="1:23" ht="51">
      <c r="A442" s="13" t="str">
        <f>IF(T442="YES",MAX($A$12:A441)+1,"")</f>
        <v/>
      </c>
      <c r="B442" s="20"/>
      <c r="C442" s="54" t="s">
        <v>151</v>
      </c>
      <c r="D442" s="10" t="s">
        <v>65</v>
      </c>
      <c r="E442" s="10" t="s">
        <v>6</v>
      </c>
      <c r="F442" s="256" t="s">
        <v>167</v>
      </c>
      <c r="G442" s="257"/>
      <c r="H442" s="258"/>
      <c r="J442" s="10" t="s">
        <v>14</v>
      </c>
      <c r="K442" s="1" t="s">
        <v>109</v>
      </c>
      <c r="L442" s="75"/>
      <c r="M442" s="1" t="s">
        <v>12</v>
      </c>
      <c r="N442" s="1" t="s">
        <v>13</v>
      </c>
      <c r="O442" s="1" t="s">
        <v>14</v>
      </c>
      <c r="P442" s="1" t="s">
        <v>108</v>
      </c>
      <c r="Q442" s="1" t="s">
        <v>111</v>
      </c>
      <c r="R442" s="1" t="s">
        <v>150</v>
      </c>
      <c r="S442" s="1" t="s">
        <v>77</v>
      </c>
      <c r="T442" s="1" t="s">
        <v>110</v>
      </c>
      <c r="U442" s="1" t="s">
        <v>160</v>
      </c>
    </row>
    <row r="443" spans="1:23">
      <c r="A443" s="13" t="str">
        <f>IF(T443="YES",MAX($A$12:A442)+1,"")</f>
        <v/>
      </c>
      <c r="B443" s="20"/>
      <c r="C443" s="61" t="s">
        <v>78</v>
      </c>
      <c r="D443" s="151"/>
      <c r="E443" s="5" t="s">
        <v>66</v>
      </c>
      <c r="F443" s="253" t="s">
        <v>165</v>
      </c>
      <c r="G443" s="254"/>
      <c r="H443" s="255"/>
      <c r="J443" s="37">
        <f>D443*References!C49/1000</f>
        <v>0</v>
      </c>
      <c r="K443" s="29">
        <v>9000</v>
      </c>
      <c r="L443" s="78"/>
      <c r="M443" s="37"/>
      <c r="N443" s="37">
        <f>J443*1000/References!$C$26</f>
        <v>0</v>
      </c>
      <c r="O443" s="37">
        <f>(M443*References!$C$27+N443*References!$C$26)/1000</f>
        <v>0</v>
      </c>
      <c r="P443" s="38">
        <f>O443*K443</f>
        <v>0</v>
      </c>
      <c r="Q443" s="38">
        <f>(M443*References!$C$57+Opportunities!N443*References!$C$56)/100</f>
        <v>0</v>
      </c>
      <c r="R443" s="35">
        <f>IF(ISERROR(P443/Q443),0,P443/Q443)</f>
        <v>0</v>
      </c>
      <c r="S443" s="36">
        <f>O443/'Graphs&amp;Analysis'!$D$24</f>
        <v>0</v>
      </c>
      <c r="T443" s="153"/>
      <c r="U443" s="153"/>
      <c r="W443" s="13" t="str">
        <f>IF(O443&gt;0,"Buildings","")</f>
        <v/>
      </c>
    </row>
    <row r="444" spans="1:23">
      <c r="A444" s="13" t="str">
        <f>IF(T444="YES",MAX($A$12:A443)+1,"")</f>
        <v/>
      </c>
      <c r="B444" s="20"/>
      <c r="C444" s="61" t="s">
        <v>78</v>
      </c>
      <c r="D444" s="82"/>
      <c r="E444" s="5" t="s">
        <v>67</v>
      </c>
      <c r="F444" s="253" t="s">
        <v>68</v>
      </c>
      <c r="G444" s="254"/>
      <c r="H444" s="255"/>
      <c r="J444" s="39"/>
      <c r="K444" s="6"/>
      <c r="L444" s="78"/>
      <c r="M444" s="55"/>
      <c r="N444" s="55"/>
      <c r="O444" s="55"/>
      <c r="P444" s="56"/>
      <c r="Q444" s="56"/>
      <c r="R444" s="57"/>
      <c r="S444" s="58"/>
      <c r="T444" s="59"/>
      <c r="U444" s="59"/>
    </row>
    <row r="445" spans="1:23" ht="25.5">
      <c r="A445" s="13" t="str">
        <f>IF(T445="YES",MAX($A$12:A444)+1,"")</f>
        <v/>
      </c>
      <c r="B445" s="20" t="s">
        <v>184</v>
      </c>
      <c r="C445" s="61" t="s">
        <v>78</v>
      </c>
      <c r="D445" s="151"/>
      <c r="E445" s="5" t="s">
        <v>69</v>
      </c>
      <c r="F445" s="253" t="s">
        <v>70</v>
      </c>
      <c r="G445" s="254"/>
      <c r="H445" s="255"/>
      <c r="J445" s="37">
        <f>D445*References!C51/1000</f>
        <v>0</v>
      </c>
      <c r="K445" s="29">
        <v>14000</v>
      </c>
      <c r="L445" s="78"/>
      <c r="M445" s="37"/>
      <c r="N445" s="37">
        <f>J445*1000/References!$C$26</f>
        <v>0</v>
      </c>
      <c r="O445" s="37">
        <f>(M445*References!$C$27+N445*References!$C$26)/1000</f>
        <v>0</v>
      </c>
      <c r="P445" s="38">
        <f>O445*K445</f>
        <v>0</v>
      </c>
      <c r="Q445" s="38">
        <f>(M445*References!$C$57+Opportunities!N445*References!$C$56)/100</f>
        <v>0</v>
      </c>
      <c r="R445" s="35">
        <f>IF(ISERROR(P445/Q445),0,P445/Q445)</f>
        <v>0</v>
      </c>
      <c r="S445" s="36">
        <f>O445/'Graphs&amp;Analysis'!$D$24</f>
        <v>0</v>
      </c>
      <c r="T445" s="153"/>
      <c r="U445" s="153"/>
      <c r="W445" s="13" t="str">
        <f>IF(O445&gt;0,"Buildings","")</f>
        <v/>
      </c>
    </row>
    <row r="446" spans="1:23" ht="25.5">
      <c r="A446" s="13" t="str">
        <f>IF(T446="YES",MAX($A$12:A445)+1,"")</f>
        <v/>
      </c>
      <c r="B446" s="20"/>
      <c r="C446" s="61" t="s">
        <v>78</v>
      </c>
      <c r="D446" s="151"/>
      <c r="E446" s="5" t="s">
        <v>71</v>
      </c>
      <c r="F446" s="253" t="s">
        <v>70</v>
      </c>
      <c r="G446" s="254"/>
      <c r="H446" s="255"/>
      <c r="J446" s="37">
        <f>D446*References!C52/1000</f>
        <v>0</v>
      </c>
      <c r="K446" s="29">
        <v>1300</v>
      </c>
      <c r="L446" s="78"/>
      <c r="M446" s="37"/>
      <c r="N446" s="37">
        <f>J446*1000/References!$C$26</f>
        <v>0</v>
      </c>
      <c r="O446" s="37">
        <f>(M446*References!$C$27+N446*References!$C$26)/1000</f>
        <v>0</v>
      </c>
      <c r="P446" s="38">
        <f>O446*K446</f>
        <v>0</v>
      </c>
      <c r="Q446" s="38">
        <f>(M446*References!$C$57+Opportunities!N446*References!$C$56)/100</f>
        <v>0</v>
      </c>
      <c r="R446" s="35">
        <f>IF(ISERROR(P446/Q446),0,P446/Q446)</f>
        <v>0</v>
      </c>
      <c r="S446" s="36">
        <f>O446/'Graphs&amp;Analysis'!$D$24</f>
        <v>0</v>
      </c>
      <c r="T446" s="153"/>
      <c r="U446" s="153"/>
      <c r="W446" s="13" t="str">
        <f>IF(O446&gt;0,"Buildings","")</f>
        <v/>
      </c>
    </row>
    <row r="447" spans="1:23">
      <c r="A447" s="13" t="str">
        <f>IF(T447="YES",MAX($A$12:A446)+1,"")</f>
        <v/>
      </c>
      <c r="B447" s="20"/>
      <c r="C447" s="61" t="s">
        <v>78</v>
      </c>
      <c r="D447" s="151"/>
      <c r="E447" s="5" t="s">
        <v>72</v>
      </c>
      <c r="F447" s="253" t="s">
        <v>73</v>
      </c>
      <c r="G447" s="254"/>
      <c r="H447" s="255"/>
      <c r="J447" s="60">
        <f>D447*References!C53/1000</f>
        <v>0</v>
      </c>
      <c r="K447" s="29">
        <v>3200</v>
      </c>
      <c r="L447" s="78"/>
      <c r="M447" s="37">
        <f>J447*1000/References!$C$27</f>
        <v>0</v>
      </c>
      <c r="N447" s="37"/>
      <c r="O447" s="37">
        <f>(M447*References!$C$27+N447*References!$C$26)/1000</f>
        <v>0</v>
      </c>
      <c r="P447" s="38">
        <f>O447*K447</f>
        <v>0</v>
      </c>
      <c r="Q447" s="38">
        <f>(M447*References!$C$57+Opportunities!N447*References!$C$56)/100</f>
        <v>0</v>
      </c>
      <c r="R447" s="35">
        <f>IF(ISERROR(P447/Q447),0,P447/Q447)</f>
        <v>0</v>
      </c>
      <c r="S447" s="36">
        <f>O447/'Graphs&amp;Analysis'!$D$24</f>
        <v>0</v>
      </c>
      <c r="T447" s="153"/>
      <c r="U447" s="153"/>
      <c r="W447" s="13" t="str">
        <f>IF(O447&gt;0,"Buildings","")</f>
        <v/>
      </c>
    </row>
    <row r="448" spans="1:23">
      <c r="A448" s="13" t="str">
        <f>IF(T448="YES",MAX($A$12:A447)+1,"")</f>
        <v/>
      </c>
      <c r="C448" s="23"/>
      <c r="D448" s="23"/>
      <c r="E448" s="79"/>
      <c r="F448" s="23"/>
      <c r="G448" s="23"/>
      <c r="H448" s="23"/>
      <c r="I448" s="23"/>
      <c r="J448" s="23"/>
      <c r="K448" s="23"/>
      <c r="M448" s="23"/>
      <c r="N448" s="23"/>
      <c r="O448" s="23"/>
      <c r="P448" s="23"/>
      <c r="Q448" s="23"/>
      <c r="R448" s="23"/>
      <c r="S448" s="23"/>
      <c r="T448" s="23"/>
      <c r="U448" s="23"/>
    </row>
    <row r="449" spans="1:15">
      <c r="A449" s="13" t="str">
        <f>IF(T449="YES",MAX($A$12:A448)+1,"")</f>
        <v/>
      </c>
      <c r="B449" s="252" t="s">
        <v>128</v>
      </c>
      <c r="C449" s="252"/>
      <c r="D449" s="71"/>
      <c r="N449" s="68" t="s">
        <v>3</v>
      </c>
      <c r="O449" s="69">
        <f>SUM(J443:J448)</f>
        <v>0</v>
      </c>
    </row>
    <row r="450" spans="1:15">
      <c r="A450" s="13" t="str">
        <f>IF(T450="YES",MAX($A$12:A449)+1,"")</f>
        <v/>
      </c>
    </row>
    <row r="451" spans="1:15">
      <c r="A451" s="13" t="str">
        <f>IF(T451="YES",MAX($A$12:A450)+1,"")</f>
        <v/>
      </c>
    </row>
    <row r="452" spans="1:15">
      <c r="A452" s="13" t="str">
        <f>IF(T452="YES",MAX($A$12:A451)+1,"")</f>
        <v/>
      </c>
    </row>
    <row r="453" spans="1:15">
      <c r="A453" s="13" t="str">
        <f>IF(T453="YES",MAX($A$12:A452)+1,"")</f>
        <v/>
      </c>
    </row>
    <row r="454" spans="1:15">
      <c r="A454" s="13" t="str">
        <f>IF(T454="YES",MAX($A$12:A453)+1,"")</f>
        <v/>
      </c>
    </row>
    <row r="455" spans="1:15">
      <c r="A455" s="13" t="str">
        <f>IF(T455="YES",MAX($A$12:A454)+1,"")</f>
        <v/>
      </c>
    </row>
    <row r="456" spans="1:15">
      <c r="A456" s="13" t="str">
        <f>IF(T456="YES",MAX($A$12:A455)+1,"")</f>
        <v/>
      </c>
    </row>
    <row r="457" spans="1:15">
      <c r="A457" s="13" t="str">
        <f>IF(T457="YES",MAX($A$12:A456)+1,"")</f>
        <v/>
      </c>
    </row>
    <row r="458" spans="1:15">
      <c r="A458" s="13" t="str">
        <f>IF(T458="YES",MAX($A$12:A457)+1,"")</f>
        <v/>
      </c>
    </row>
    <row r="459" spans="1:15">
      <c r="A459" s="13" t="str">
        <f>IF(T459="YES",MAX($A$12:A458)+1,"")</f>
        <v/>
      </c>
    </row>
    <row r="460" spans="1:15">
      <c r="A460" s="13" t="str">
        <f>IF(T460="YES",MAX($A$12:A459)+1,"")</f>
        <v/>
      </c>
    </row>
    <row r="461" spans="1:15">
      <c r="A461" s="13" t="str">
        <f>IF(T461="YES",MAX($A$12:A460)+1,"")</f>
        <v/>
      </c>
    </row>
    <row r="462" spans="1:15">
      <c r="A462" s="13" t="str">
        <f>IF(T462="YES",MAX($A$12:A461)+1,"")</f>
        <v/>
      </c>
    </row>
    <row r="463" spans="1:15">
      <c r="A463" s="13" t="str">
        <f>IF(T463="YES",MAX($A$12:A462)+1,"")</f>
        <v/>
      </c>
    </row>
    <row r="464" spans="1:15">
      <c r="A464" s="13" t="str">
        <f>IF(T464="YES",MAX($A$12:A463)+1,"")</f>
        <v/>
      </c>
    </row>
    <row r="465" spans="1:1">
      <c r="A465" s="13" t="str">
        <f>IF(T465="YES",MAX($A$12:A464)+1,"")</f>
        <v/>
      </c>
    </row>
    <row r="466" spans="1:1">
      <c r="A466" s="13" t="str">
        <f>IF(T466="YES",MAX($A$12:A465)+1,"")</f>
        <v/>
      </c>
    </row>
    <row r="467" spans="1:1">
      <c r="A467" s="13" t="str">
        <f>IF(T467="YES",MAX($A$12:A466)+1,"")</f>
        <v/>
      </c>
    </row>
    <row r="468" spans="1:1">
      <c r="A468" s="13" t="str">
        <f>IF(T468="YES",MAX($A$12:A467)+1,"")</f>
        <v/>
      </c>
    </row>
    <row r="469" spans="1:1">
      <c r="A469" s="13" t="str">
        <f>IF(T469="YES",MAX($A$12:A468)+1,"")</f>
        <v/>
      </c>
    </row>
    <row r="470" spans="1:1">
      <c r="A470" s="13" t="str">
        <f>IF(T470="YES",MAX($A$12:A469)+1,"")</f>
        <v/>
      </c>
    </row>
    <row r="471" spans="1:1">
      <c r="A471" s="13" t="str">
        <f>IF(T471="YES",MAX($A$12:A470)+1,"")</f>
        <v/>
      </c>
    </row>
    <row r="472" spans="1:1">
      <c r="A472" s="13" t="str">
        <f>IF(T472="YES",MAX($A$12:A471)+1,"")</f>
        <v/>
      </c>
    </row>
    <row r="473" spans="1:1">
      <c r="A473" s="13" t="str">
        <f>IF(T473="YES",MAX($A$12:A472)+1,"")</f>
        <v/>
      </c>
    </row>
    <row r="474" spans="1:1">
      <c r="A474" s="13" t="str">
        <f>IF(T474="YES",MAX($A$12:A473)+1,"")</f>
        <v/>
      </c>
    </row>
    <row r="475" spans="1:1">
      <c r="A475" s="13" t="str">
        <f>IF(T475="YES",MAX($A$12:A474)+1,"")</f>
        <v/>
      </c>
    </row>
    <row r="476" spans="1:1">
      <c r="A476" s="13" t="str">
        <f>IF(T476="YES",MAX($A$12:A475)+1,"")</f>
        <v/>
      </c>
    </row>
    <row r="477" spans="1:1">
      <c r="A477" s="13" t="str">
        <f>IF(T477="YES",MAX($A$12:A476)+1,"")</f>
        <v/>
      </c>
    </row>
    <row r="478" spans="1:1">
      <c r="A478" s="13" t="str">
        <f>IF(T478="YES",MAX($A$12:A477)+1,"")</f>
        <v/>
      </c>
    </row>
    <row r="479" spans="1:1">
      <c r="A479" s="13" t="str">
        <f>IF(T479="YES",MAX($A$12:A478)+1,"")</f>
        <v/>
      </c>
    </row>
    <row r="480" spans="1:1">
      <c r="A480" s="13" t="str">
        <f>IF(T480="YES",MAX($A$12:A479)+1,"")</f>
        <v/>
      </c>
    </row>
  </sheetData>
  <mergeCells count="140">
    <mergeCell ref="K424:K425"/>
    <mergeCell ref="L424:L425"/>
    <mergeCell ref="K406:K407"/>
    <mergeCell ref="L406:L407"/>
    <mergeCell ref="U424:U425"/>
    <mergeCell ref="B437:C437"/>
    <mergeCell ref="Q424:Q425"/>
    <mergeCell ref="R424:R425"/>
    <mergeCell ref="S424:S425"/>
    <mergeCell ref="T424:T425"/>
    <mergeCell ref="M424:M425"/>
    <mergeCell ref="N424:N425"/>
    <mergeCell ref="O424:O425"/>
    <mergeCell ref="P424:P425"/>
    <mergeCell ref="M406:M407"/>
    <mergeCell ref="N406:N407"/>
    <mergeCell ref="O406:O407"/>
    <mergeCell ref="P406:P407"/>
    <mergeCell ref="H406:J406"/>
    <mergeCell ref="U406:U407"/>
    <mergeCell ref="B419:C419"/>
    <mergeCell ref="C424:C425"/>
    <mergeCell ref="D424:D425"/>
    <mergeCell ref="E424:E425"/>
    <mergeCell ref="F424:F425"/>
    <mergeCell ref="G424:G425"/>
    <mergeCell ref="H424:J424"/>
    <mergeCell ref="S406:S407"/>
    <mergeCell ref="B401:C401"/>
    <mergeCell ref="C406:C407"/>
    <mergeCell ref="D406:D407"/>
    <mergeCell ref="E406:E407"/>
    <mergeCell ref="F406:F407"/>
    <mergeCell ref="G406:G407"/>
    <mergeCell ref="R388:R389"/>
    <mergeCell ref="S388:S389"/>
    <mergeCell ref="T388:T389"/>
    <mergeCell ref="Q406:Q407"/>
    <mergeCell ref="R406:R407"/>
    <mergeCell ref="U388:U389"/>
    <mergeCell ref="T406:T407"/>
    <mergeCell ref="L388:L389"/>
    <mergeCell ref="M388:M389"/>
    <mergeCell ref="N388:N389"/>
    <mergeCell ref="O388:O389"/>
    <mergeCell ref="P388:P389"/>
    <mergeCell ref="Q388:Q389"/>
    <mergeCell ref="D388:D389"/>
    <mergeCell ref="E388:E389"/>
    <mergeCell ref="F388:F389"/>
    <mergeCell ref="G388:G389"/>
    <mergeCell ref="H388:J388"/>
    <mergeCell ref="K388:K389"/>
    <mergeCell ref="Q370:Q371"/>
    <mergeCell ref="R370:R371"/>
    <mergeCell ref="S370:S371"/>
    <mergeCell ref="T370:T371"/>
    <mergeCell ref="U370:U371"/>
    <mergeCell ref="B383:C383"/>
    <mergeCell ref="K370:K371"/>
    <mergeCell ref="L370:L371"/>
    <mergeCell ref="M370:M371"/>
    <mergeCell ref="N370:N371"/>
    <mergeCell ref="O370:O371"/>
    <mergeCell ref="P370:P371"/>
    <mergeCell ref="P352:P353"/>
    <mergeCell ref="Q352:Q353"/>
    <mergeCell ref="R352:R353"/>
    <mergeCell ref="K352:K353"/>
    <mergeCell ref="L352:L353"/>
    <mergeCell ref="C370:C371"/>
    <mergeCell ref="D370:D371"/>
    <mergeCell ref="E370:E371"/>
    <mergeCell ref="F370:F371"/>
    <mergeCell ref="G370:G371"/>
    <mergeCell ref="R334:R335"/>
    <mergeCell ref="S334:S335"/>
    <mergeCell ref="T334:T335"/>
    <mergeCell ref="U334:U335"/>
    <mergeCell ref="M352:M353"/>
    <mergeCell ref="N352:N353"/>
    <mergeCell ref="S352:S353"/>
    <mergeCell ref="T352:T353"/>
    <mergeCell ref="U352:U353"/>
    <mergeCell ref="O352:O353"/>
    <mergeCell ref="L334:L335"/>
    <mergeCell ref="M334:M335"/>
    <mergeCell ref="N334:N335"/>
    <mergeCell ref="O334:O335"/>
    <mergeCell ref="P334:P335"/>
    <mergeCell ref="Q334:Q335"/>
    <mergeCell ref="F446:H446"/>
    <mergeCell ref="F443:H443"/>
    <mergeCell ref="F447:H447"/>
    <mergeCell ref="F442:H442"/>
    <mergeCell ref="H334:J334"/>
    <mergeCell ref="K334:K335"/>
    <mergeCell ref="F352:F353"/>
    <mergeCell ref="G352:G353"/>
    <mergeCell ref="H352:J352"/>
    <mergeCell ref="H370:J370"/>
    <mergeCell ref="B449:C449"/>
    <mergeCell ref="D316:D317"/>
    <mergeCell ref="B179:C179"/>
    <mergeCell ref="B222:C222"/>
    <mergeCell ref="B329:C329"/>
    <mergeCell ref="C334:C335"/>
    <mergeCell ref="D334:D335"/>
    <mergeCell ref="B347:C347"/>
    <mergeCell ref="C352:C353"/>
    <mergeCell ref="D352:D353"/>
    <mergeCell ref="F445:H445"/>
    <mergeCell ref="F444:H444"/>
    <mergeCell ref="C316:C317"/>
    <mergeCell ref="H316:J316"/>
    <mergeCell ref="E334:E335"/>
    <mergeCell ref="F334:F335"/>
    <mergeCell ref="G334:G335"/>
    <mergeCell ref="E352:E353"/>
    <mergeCell ref="B365:C365"/>
    <mergeCell ref="C388:C389"/>
    <mergeCell ref="E316:E317"/>
    <mergeCell ref="F316:F317"/>
    <mergeCell ref="G316:G317"/>
    <mergeCell ref="K316:K317"/>
    <mergeCell ref="B50:C50"/>
    <mergeCell ref="B93:C93"/>
    <mergeCell ref="B136:C136"/>
    <mergeCell ref="B265:C265"/>
    <mergeCell ref="B307:C307"/>
    <mergeCell ref="U316:U317"/>
    <mergeCell ref="O316:O317"/>
    <mergeCell ref="L316:L317"/>
    <mergeCell ref="M316:M317"/>
    <mergeCell ref="T316:T317"/>
    <mergeCell ref="Q316:Q317"/>
    <mergeCell ref="P316:P317"/>
    <mergeCell ref="R316:R317"/>
    <mergeCell ref="S316:S317"/>
    <mergeCell ref="N316:N317"/>
  </mergeCells>
  <phoneticPr fontId="5" type="noConversion"/>
  <dataValidations count="7">
    <dataValidation type="list" allowBlank="1" showInputMessage="1" showErrorMessage="1" sqref="T443:T447 T426:T435 T408:T417 T390:T399 T372:T381 T354:T363 T336:T345 T270:T305 T228:T263 T56:T91 T99:T134 T318:T327 T185:T220 T142:T177 T13:T48">
      <formula1>YN</formula1>
    </dataValidation>
    <dataValidation type="whole" allowBlank="1" showInputMessage="1" showErrorMessage="1" prompt="Score from 1 to 9 using the Ease-effect matrix.  See the Ease-effect tab for more details" sqref="U443 U426:U435 U408:U417 U390:U399 U372:U381 U354:U363 U336:U345 U445:U447 U318:U327 U228:U263 U99:U134 U56:U91 U13:U48 U142:U177 U185:U220 U270:U305">
      <formula1>1</formula1>
      <formula2>9</formula2>
    </dataValidation>
    <dataValidation type="whole" allowBlank="1" showInputMessage="1" showErrorMessage="1" sqref="U444 U436:U440 U418:U425 U400:U407 U382:U389 U364:U371 U346:U353 U312:U317 U328:U331 U333:U335 U306:U308 U221:U223 U226 U49:U54 U92:U97 U178:U183 U135:U140 U268 U264:U266">
      <formula1>1</formula1>
      <formula2>9</formula2>
    </dataValidation>
    <dataValidation allowBlank="1" showInputMessage="1" showErrorMessage="1" prompt="Update percentage savings dependant on proposed biodiesel percentage in fuel" sqref="G338 G428 G410 G392 G374 G356"/>
    <dataValidation allowBlank="1" showInputMessage="1" showErrorMessage="1" prompt="i.e. space heating is typically 85% of gas consumption" sqref="H218:H220 H197:H199 H209:H214 H132:H134 H111:H113 H123:H128 H89:H91 H68:H70 H46:H48 H261:H263 H240:H242 H252:H257 H25:H27 H37:H42 H80:H85 H175:H177 H154:H156 H166:H171 H303:H305 H282:H284 H294:H299"/>
    <dataValidation allowBlank="1" showInputMessage="1" showErrorMessage="1" prompt="Of the applicable buildings, how many could feasibly achieve the savings" sqref="G185:G220 G99:G134 G270:G305 G228:G263 G56:G91 G142:G177 G13:G48"/>
    <dataValidation allowBlank="1" showInputMessage="1" showErrorMessage="1" prompt="Insert % of total area for which this technology might be applicable.  i.e. if a third of buildings put 33%" sqref="F185:F220 F99:F134 F270:F305 F228:F263 F56:F91 F142:F177 F13:F48"/>
  </dataValidations>
  <hyperlinks>
    <hyperlink ref="C8" r:id="rId1" display="http://www.lse.ac.uk/intranet/LSEServices/estatesDivision/sustainableLSE/policyObjectives/communityInvolvement/LUEG/CarbonReduction/Documents/Resources/091016LUEG-CRSG-CarbonTrust-HERapidAssessmentPotential.xls"/>
    <hyperlink ref="D8" r:id="rId2" display="http://www.lse.ac.uk/intranet/LSEServices/estatesDivision/sustainableLSE/policyObjectives/communityInvolvement/LUEG/CarbonReduction/Documents/Resources/091016LUEG-CRSG-CarbonTrust-HERapidAssessmentPotential.xls"/>
    <hyperlink ref="F8" r:id="rId3" display="http://www.lse.ac.uk/intranet/LSEServices/estatesDivision/sustainableLSE/policyObjectives/communityInvolvement/LUEG/CarbonReduction/Documents/Resources/091016LUEG-CRSG-CarbonTrust-HERapidAssessmentPotential.xls"/>
    <hyperlink ref="G8" r:id="rId4" display="http://www.lse.ac.uk/intranet/LSEServices/estatesDivision/sustainableLSE/policyObjectives/communityInvolvement/LUEG/CarbonReduction/Documents/Resources/091016LUEG-CRSG-CarbonTrust-HERapidAssessmentPotential.xls"/>
    <hyperlink ref="H8" r:id="rId5" display="http://www.lse.ac.uk/intranet/LSEServices/estatesDivision/sustainableLSE/policyObjectives/communityInvolvement/LUEG/CarbonReduction/Documents/Resources/091016LUEG-CRSG-CarbonTrust-HERapidAssessmentPotential.xls"/>
    <hyperlink ref="J10" r:id="rId6" display="http://www.lse.ac.uk/intranet/LSEServices/estatesDivision/sustainableLSE/policyObjectives/communityInvolvement/LUEG/CarbonReduction/Documents/Resources/091016LUEG-CRSG-CarbonTrust-HERapidAssessmentPotential.xls"/>
    <hyperlink ref="B449" r:id="rId7" display="http://www.lse.ac.uk/intranet/LSEServices/estatesDivision/sustainableLSE/policyObjectives/communityInvolvement/LUEG/CarbonReduction/Documents/Resources/091016LUEG-CRSG-CarbonTrust-HERapidAssessmentPotential.xls"/>
    <hyperlink ref="B329" r:id="rId8" display="http://www.lse.ac.uk/intranet/LSEServices/estatesDivision/sustainableLSE/policyObjectives/communityInvolvement/LUEG/CarbonReduction/Documents/Resources/091016LUEG-CRSG-CarbonTrust-HERapidAssessmentPotential.xls"/>
    <hyperlink ref="B222" r:id="rId9" display="http://www.lse.ac.uk/intranet/LSEServices/estatesDivision/sustainableLSE/policyObjectives/communityInvolvement/LUEG/CarbonReduction/Documents/Resources/091016LUEG-CRSG-CarbonTrust-HERapidAssessmentPotential.xls"/>
    <hyperlink ref="B179" r:id="rId10" display="http://www.lse.ac.uk/intranet/LSEServices/estatesDivision/sustainableLSE/policyObjectives/communityInvolvement/LUEG/CarbonReduction/Documents/Resources/091016LUEG-CRSG-CarbonTrust-HERapidAssessmentPotential.xls"/>
    <hyperlink ref="B136" r:id="rId11" display="http://www.lse.ac.uk/intranet/LSEServices/estatesDivision/sustainableLSE/policyObjectives/communityInvolvement/LUEG/CarbonReduction/Documents/Resources/091016LUEG-CRSG-CarbonTrust-HERapidAssessmentPotential.xls"/>
    <hyperlink ref="B93" r:id="rId12" display="http://www.lse.ac.uk/intranet/LSEServices/estatesDivision/sustainableLSE/policyObjectives/communityInvolvement/LUEG/CarbonReduction/Documents/Resources/091016LUEG-CRSG-CarbonTrust-HERapidAssessmentPotential.xls"/>
    <hyperlink ref="B50" r:id="rId13" display="http://www.lse.ac.uk/intranet/LSEServices/estatesDivision/sustainableLSE/policyObjectives/communityInvolvement/LUEG/CarbonReduction/Documents/Resources/091016LUEG-CRSG-CarbonTrust-HERapidAssessmentPotential.xls"/>
    <hyperlink ref="E8" r:id="rId14" display="http://www.lse.ac.uk/intranet/LSEServices/estatesDivision/sustainableLSE/policyObjectives/communityInvolvement/LUEG/CarbonReduction/Documents/Resources/091016LUEG-CRSG-CarbonTrust-HERapidAssessmentPotential.xls"/>
    <hyperlink ref="B347" r:id="rId15" display="http://www.lse.ac.uk/intranet/LSEServices/estatesDivision/sustainableLSE/policyObjectives/communityInvolvement/LUEG/CarbonReduction/Documents/Resources/091016LUEG-CRSG-CarbonTrust-HERapidAssessmentPotential.xls"/>
    <hyperlink ref="B365" r:id="rId16" display="http://www.lse.ac.uk/intranet/LSEServices/estatesDivision/sustainableLSE/policyObjectives/communityInvolvement/LUEG/CarbonReduction/Documents/Resources/091016LUEG-CRSG-CarbonTrust-HERapidAssessmentPotential.xls"/>
    <hyperlink ref="B383" r:id="rId17" display="http://www.lse.ac.uk/intranet/LSEServices/estatesDivision/sustainableLSE/policyObjectives/communityInvolvement/LUEG/CarbonReduction/Documents/Resources/091016LUEG-CRSG-CarbonTrust-HERapidAssessmentPotential.xls"/>
    <hyperlink ref="B401" r:id="rId18" display="http://www.lse.ac.uk/intranet/LSEServices/estatesDivision/sustainableLSE/policyObjectives/communityInvolvement/LUEG/CarbonReduction/Documents/Resources/091016LUEG-CRSG-CarbonTrust-HERapidAssessmentPotential.xls"/>
    <hyperlink ref="B419" r:id="rId19" display="http://www.lse.ac.uk/intranet/LSEServices/estatesDivision/sustainableLSE/policyObjectives/communityInvolvement/LUEG/CarbonReduction/Documents/Resources/091016LUEG-CRSG-CarbonTrust-HERapidAssessmentPotential.xls"/>
    <hyperlink ref="B437" r:id="rId20" display="http://www.lse.ac.uk/intranet/LSEServices/estatesDivision/sustainableLSE/policyObjectives/communityInvolvement/LUEG/CarbonReduction/Documents/Resources/091016LUEG-CRSG-CarbonTrust-HERapidAssessmentPotential.xls"/>
    <hyperlink ref="U12" r:id="rId21" display="http://www.lse.ac.uk/intranet/LSEServices/estatesDivision/sustainableLSE/policyObjectives/communityInvolvement/LUEG/CarbonReduction/Documents/Resources/091016LUEG-CRSG-CarbonTrust-HERapidAssessmentPotential.xls"/>
    <hyperlink ref="B265" r:id="rId22" display="http://www.lse.ac.uk/intranet/LSEServices/estatesDivision/sustainableLSE/policyObjectives/communityInvolvement/LUEG/CarbonReduction/Documents/Resources/091016LUEG-CRSG-CarbonTrust-HERapidAssessmentPotential.xls"/>
    <hyperlink ref="B307" r:id="rId23" display="http://www.lse.ac.uk/intranet/LSEServices/estatesDivision/sustainableLSE/policyObjectives/communityInvolvement/LUEG/CarbonReduction/Documents/Resources/091016LUEG-CRSG-CarbonTrust-HERapidAssessmentPotential.xls"/>
    <hyperlink ref="I8" r:id="rId24" display="http://www.lse.ac.uk/intranet/LSEServices/estatesDivision/sustainableLSE/policyObjectives/communityInvolvement/LUEG/CarbonReduction/Documents/Resources/091016LUEG-CRSG-CarbonTrust-HERapidAssessmentPotential.xls"/>
    <hyperlink ref="C10" r:id="rId25" display="http://www.lse.ac.uk/intranet/LSEServices/estatesDivision/sustainableLSE/policyObjectives/communityInvolvement/LUEG/CarbonReduction/Documents/Resources/091016LUEG-CRSG-CarbonTrust-HERapidAssessmentPotential.xls"/>
    <hyperlink ref="D10" r:id="rId26" display="http://www.lse.ac.uk/intranet/LSEServices/estatesDivision/sustainableLSE/policyObjectives/communityInvolvement/LUEG/CarbonReduction/Documents/Resources/091016LUEG-CRSG-CarbonTrust-HERapidAssessmentPotential.xls"/>
    <hyperlink ref="E10" r:id="rId27" display="http://www.lse.ac.uk/intranet/LSEServices/estatesDivision/sustainableLSE/policyObjectives/communityInvolvement/LUEG/CarbonReduction/Documents/Resources/091016LUEG-CRSG-CarbonTrust-HERapidAssessmentPotential.xls"/>
    <hyperlink ref="F10" r:id="rId28" display="http://www.lse.ac.uk/intranet/LSEServices/estatesDivision/sustainableLSE/policyObjectives/communityInvolvement/LUEG/CarbonReduction/Documents/Resources/091016LUEG-CRSG-CarbonTrust-HERapidAssessmentPotential.xls"/>
    <hyperlink ref="G10" r:id="rId29" display="http://www.lse.ac.uk/intranet/LSEServices/estatesDivision/sustainableLSE/policyObjectives/communityInvolvement/LUEG/CarbonReduction/Documents/Resources/091016LUEG-CRSG-CarbonTrust-HERapidAssessmentPotential.xls"/>
    <hyperlink ref="H10" r:id="rId30" display="http://www.lse.ac.uk/intranet/LSEServices/estatesDivision/sustainableLSE/policyObjectives/communityInvolvement/LUEG/CarbonReduction/Documents/Resources/091016LUEG-CRSG-CarbonTrust-HERapidAssessmentPotential.xls"/>
    <hyperlink ref="I10" r:id="rId31" display="http://www.lse.ac.uk/intranet/LSEServices/estatesDivision/sustainableLSE/policyObjectives/communityInvolvement/LUEG/CarbonReduction/Documents/Resources/091016LUEG-CRSG-CarbonTrust-HERapidAssessmentPotential.xls"/>
  </hyperlinks>
  <pageMargins left="0.75" right="0.75" top="1" bottom="1" header="0.5" footer="0.5"/>
  <pageSetup paperSize="9" orientation="portrait" r:id="rId32"/>
  <headerFooter alignWithMargins="0">
    <oddHeader>&amp;C&amp;A</oddHeader>
    <oddFooter>&amp;L&amp;Z&amp;F&amp;RPage &amp;P</oddFooter>
  </headerFooter>
  <drawing r:id="rId33"/>
  <legacyDrawing r:id="rId34"/>
</worksheet>
</file>

<file path=xl/worksheets/sheet3.xml><?xml version="1.0" encoding="utf-8"?>
<worksheet xmlns="http://schemas.openxmlformats.org/spreadsheetml/2006/main" xmlns:r="http://schemas.openxmlformats.org/officeDocument/2006/relationships">
  <sheetPr codeName="Sheet5"/>
  <dimension ref="A2:S115"/>
  <sheetViews>
    <sheetView workbookViewId="0">
      <pane ySplit="13" topLeftCell="A14" activePane="bottomLeft" state="frozen"/>
      <selection pane="bottomLeft" activeCell="U18" sqref="U18"/>
    </sheetView>
  </sheetViews>
  <sheetFormatPr defaultRowHeight="12.75" outlineLevelCol="1"/>
  <cols>
    <col min="1" max="1" width="3" style="13" customWidth="1"/>
    <col min="2" max="2" width="4.85546875" style="13" customWidth="1"/>
    <col min="3" max="3" width="23.85546875" style="13" customWidth="1" outlineLevel="1"/>
    <col min="4" max="4" width="17" style="13" customWidth="1" outlineLevel="1"/>
    <col min="5" max="7" width="13.140625" style="13" customWidth="1" outlineLevel="1"/>
    <col min="8" max="8" width="24" style="13" customWidth="1"/>
    <col min="9" max="9" width="10.85546875" style="13" customWidth="1"/>
    <col min="10" max="10" width="12.140625" style="13" customWidth="1"/>
    <col min="11" max="11" width="15" style="13" customWidth="1"/>
    <col min="12" max="12" width="13" style="13" customWidth="1"/>
    <col min="13" max="13" width="9.28515625" style="13" bestFit="1" customWidth="1"/>
    <col min="14" max="14" width="13.85546875" style="13" customWidth="1"/>
    <col min="15" max="15" width="12.5703125" style="13" customWidth="1"/>
    <col min="16" max="16" width="12.28515625" style="13" customWidth="1"/>
    <col min="17" max="17" width="11" style="13" customWidth="1"/>
    <col min="18" max="18" width="9.140625" style="13" customWidth="1"/>
    <col min="19" max="19" width="6.140625" style="13" customWidth="1"/>
    <col min="20" max="21" width="7.5703125" style="13" customWidth="1"/>
    <col min="22" max="22" width="6.42578125" style="13" customWidth="1"/>
    <col min="23" max="16384" width="9.140625" style="13"/>
  </cols>
  <sheetData>
    <row r="2" spans="1:19" ht="20.25">
      <c r="B2" s="12" t="s">
        <v>146</v>
      </c>
    </row>
    <row r="4" spans="1:19">
      <c r="B4" s="13" t="s">
        <v>148</v>
      </c>
    </row>
    <row r="5" spans="1:19" ht="30.75" customHeight="1">
      <c r="B5" s="22"/>
      <c r="C5" s="22"/>
      <c r="D5" s="22"/>
      <c r="E5" s="22"/>
      <c r="F5" s="22"/>
      <c r="G5" s="22"/>
      <c r="H5" s="22"/>
    </row>
    <row r="6" spans="1:19" ht="30" customHeight="1">
      <c r="B6" s="131" t="s">
        <v>175</v>
      </c>
      <c r="C6" s="132"/>
      <c r="D6" s="132"/>
      <c r="E6" s="132"/>
      <c r="F6" s="132"/>
      <c r="G6" s="133">
        <f>M13</f>
        <v>1935.4350930221763</v>
      </c>
      <c r="H6" s="132" t="s">
        <v>180</v>
      </c>
    </row>
    <row r="7" spans="1:19" ht="30" customHeight="1">
      <c r="B7" s="134" t="s">
        <v>176</v>
      </c>
      <c r="C7" s="134"/>
      <c r="D7" s="134"/>
      <c r="E7" s="134"/>
      <c r="F7" s="134"/>
      <c r="G7" s="135">
        <f>N13</f>
        <v>1524111.999249289</v>
      </c>
      <c r="H7" s="134"/>
    </row>
    <row r="8" spans="1:19">
      <c r="B8" s="134" t="s">
        <v>177</v>
      </c>
      <c r="C8" s="134"/>
      <c r="D8" s="134"/>
      <c r="E8" s="134"/>
      <c r="F8" s="134"/>
      <c r="G8" s="136">
        <f>P13</f>
        <v>5.1239408848710433</v>
      </c>
      <c r="H8" s="134" t="s">
        <v>178</v>
      </c>
    </row>
    <row r="9" spans="1:19">
      <c r="B9" s="137" t="s">
        <v>179</v>
      </c>
      <c r="C9" s="138"/>
      <c r="D9" s="138"/>
      <c r="E9" s="138"/>
      <c r="F9" s="138"/>
      <c r="G9" s="139">
        <f>Q13</f>
        <v>0.12446778828614678</v>
      </c>
      <c r="H9" s="138" t="s">
        <v>183</v>
      </c>
    </row>
    <row r="10" spans="1:19">
      <c r="B10" s="87"/>
      <c r="C10" s="87"/>
      <c r="D10" s="87"/>
      <c r="E10" s="87"/>
      <c r="F10" s="87"/>
      <c r="G10" s="87"/>
      <c r="H10" s="87"/>
      <c r="I10" s="22"/>
      <c r="J10" s="22">
        <f>IF(I15="natural gas",1,0)</f>
        <v>1</v>
      </c>
      <c r="K10" s="22"/>
      <c r="L10" s="22"/>
      <c r="M10" s="22"/>
      <c r="N10" s="22"/>
      <c r="O10" s="22"/>
      <c r="P10" s="22"/>
      <c r="Q10" s="22"/>
      <c r="R10" s="22"/>
    </row>
    <row r="11" spans="1:19" ht="63.75">
      <c r="A11" s="20"/>
      <c r="B11" s="1" t="s">
        <v>144</v>
      </c>
      <c r="C11" s="1" t="s">
        <v>151</v>
      </c>
      <c r="D11" s="1" t="s">
        <v>5</v>
      </c>
      <c r="E11" s="1" t="s">
        <v>6</v>
      </c>
      <c r="F11" s="1" t="s">
        <v>7</v>
      </c>
      <c r="G11" s="1" t="s">
        <v>8</v>
      </c>
      <c r="H11" s="1" t="s">
        <v>152</v>
      </c>
      <c r="I11" s="1" t="s">
        <v>153</v>
      </c>
      <c r="J11" s="1" t="s">
        <v>155</v>
      </c>
      <c r="K11" s="1" t="s">
        <v>154</v>
      </c>
      <c r="L11" s="1" t="s">
        <v>156</v>
      </c>
      <c r="M11" s="1" t="s">
        <v>114</v>
      </c>
      <c r="N11" s="1" t="s">
        <v>108</v>
      </c>
      <c r="O11" s="1" t="s">
        <v>111</v>
      </c>
      <c r="P11" s="1" t="s">
        <v>150</v>
      </c>
      <c r="Q11" s="1" t="s">
        <v>77</v>
      </c>
      <c r="R11" s="161" t="s">
        <v>160</v>
      </c>
      <c r="S11" s="21"/>
    </row>
    <row r="12" spans="1:19">
      <c r="B12" s="123" t="s">
        <v>149</v>
      </c>
      <c r="C12" s="123">
        <v>3</v>
      </c>
      <c r="D12" s="87">
        <v>4</v>
      </c>
      <c r="E12" s="87">
        <v>5</v>
      </c>
      <c r="F12" s="123">
        <v>6</v>
      </c>
      <c r="G12" s="87">
        <v>7</v>
      </c>
      <c r="H12" s="87"/>
      <c r="I12" s="87"/>
      <c r="J12" s="87">
        <v>13</v>
      </c>
      <c r="K12" s="87"/>
      <c r="L12" s="87">
        <v>14</v>
      </c>
      <c r="M12" s="87">
        <v>15</v>
      </c>
      <c r="N12" s="87">
        <v>16</v>
      </c>
      <c r="O12" s="87">
        <v>17</v>
      </c>
      <c r="P12" s="87">
        <v>18</v>
      </c>
      <c r="Q12" s="87">
        <v>19</v>
      </c>
      <c r="R12" s="87">
        <v>21</v>
      </c>
    </row>
    <row r="13" spans="1:19" s="15" customFormat="1">
      <c r="B13" s="126" t="s">
        <v>166</v>
      </c>
      <c r="C13" s="126"/>
      <c r="D13" s="126"/>
      <c r="E13" s="126"/>
      <c r="F13" s="126"/>
      <c r="G13" s="126"/>
      <c r="H13" s="126"/>
      <c r="I13" s="126" t="s">
        <v>184</v>
      </c>
      <c r="J13" s="126"/>
      <c r="K13" s="126"/>
      <c r="L13" s="126"/>
      <c r="M13" s="128">
        <f>SUM(M15:M114)</f>
        <v>1935.4350930221763</v>
      </c>
      <c r="N13" s="127">
        <f>SUM(N15:N114)</f>
        <v>1524111.999249289</v>
      </c>
      <c r="O13" s="127">
        <f>SUM(O15:O114)</f>
        <v>297449.17700931814</v>
      </c>
      <c r="P13" s="129">
        <f>N13/O13</f>
        <v>5.1239408848710433</v>
      </c>
      <c r="Q13" s="130">
        <f>M13/'Graphs&amp;Analysis'!D31</f>
        <v>0.12446778828614678</v>
      </c>
      <c r="R13" s="126"/>
    </row>
    <row r="14" spans="1:19">
      <c r="B14" s="123"/>
      <c r="C14" s="123"/>
      <c r="D14" s="87"/>
      <c r="E14" s="87"/>
      <c r="F14" s="87"/>
      <c r="G14" s="87"/>
      <c r="H14" s="87"/>
      <c r="I14" s="87"/>
      <c r="J14" s="87"/>
      <c r="K14" s="87"/>
      <c r="L14" s="87"/>
      <c r="M14" s="87"/>
      <c r="N14" s="87"/>
      <c r="O14" s="87"/>
      <c r="P14" s="87"/>
      <c r="Q14" s="87"/>
      <c r="R14" s="87"/>
    </row>
    <row r="15" spans="1:19" ht="38.25">
      <c r="A15" s="20"/>
      <c r="B15" s="42">
        <v>1</v>
      </c>
      <c r="C15" s="43" t="str">
        <f>IF(ISERROR(VLOOKUP($B15,Opps_Selection,C$12,FALSE)),"",VLOOKUP($B15,Opps_Selection,C$12,FALSE))</f>
        <v>halls</v>
      </c>
      <c r="D15" s="43" t="str">
        <f t="shared" ref="D15:D46" si="0">IF(C15="Renewables","Energy generation",IF($C15="","",VLOOKUP($B15,Opps_Selection,D$12,FALSE)))</f>
        <v>Heating - controls</v>
      </c>
      <c r="E15" s="43" t="str">
        <f t="shared" ref="E15:E46" si="1">IF($C15="","",VLOOKUP($B15,Opps_Selection,E$12,FALSE))</f>
        <v>Heating control systems</v>
      </c>
      <c r="F15" s="44">
        <f t="shared" ref="F15:G34" si="2">IF($C15="Renewables","100%",IF($C15="","",VLOOKUP($B15,Opps_Selection,F$12,FALSE)))</f>
        <v>1</v>
      </c>
      <c r="G15" s="44">
        <f t="shared" si="2"/>
        <v>0.3</v>
      </c>
      <c r="H15" s="43" t="str">
        <f t="shared" ref="H15:H61" si="3">IF(C15="Renewables",CONCATENATE(E15," - ",D15," (",F15,")"),IF(C15="","",CONCATENATE(E15," could apply to ",(F15*G15*100),"% of our ",C15)))</f>
        <v>Heating control systems could apply to 30% of our halls</v>
      </c>
      <c r="I15" s="47" t="str">
        <f t="shared" ref="I15:I46" si="4">IF(C15="","",IF(VLOOKUP(B15,Opps_Selection,23,FALSE)="Buildings","Natural gas",IF(VLOOKUP(B15,Opps_Selection,23,FALSE)="Road","Petrol",IF(VLOOKUP(B15,Opps_Selection,23,FALSE)="Air","Aviation Fuel",0))))</f>
        <v>Natural gas</v>
      </c>
      <c r="J15" s="45">
        <f t="shared" ref="J15:J46" si="5">IF($C15="","",IF(I15="Natural gas",VLOOKUP($B15,Opps_Selection,J$12,FALSE),IF(I15="Petrol",VLOOKUP($B15,Opps_Selection,12,FALSE),IF(I15="Aviation Fuel",VLOOKUP($B15,Opps_Selection,14,FALSE),0))))</f>
        <v>264812.68513636361</v>
      </c>
      <c r="K15" s="47" t="str">
        <f t="shared" ref="K15:K46" si="6">IF(C15="","",IF(VLOOKUP(B15,Opps_Selection,23,FALSE)="Buildings","Electricity (grid)",IF(VLOOKUP(B15,Opps_Selection,23,FALSE)="Road","Diesel",0)))</f>
        <v>Electricity (grid)</v>
      </c>
      <c r="L15" s="45">
        <f t="shared" ref="L15:L46" si="7">IF($C15="","",IF(K15="Electricity (grid)",VLOOKUP($B15,Opps_Selection,L$12,FALSE),IF(K15="Diesel",VLOOKUP($B15,Opps_Selection,13,FALSE),0)))</f>
        <v>0</v>
      </c>
      <c r="M15" s="45">
        <f t="shared" ref="M15:R24" si="8">IF($C15="","",VLOOKUP($B15,Opps_Selection,M$12,FALSE))</f>
        <v>48.982402369673174</v>
      </c>
      <c r="N15" s="46">
        <f t="shared" si="8"/>
        <v>31397.719918960505</v>
      </c>
      <c r="O15" s="46">
        <f t="shared" si="8"/>
        <v>7944.3805540909079</v>
      </c>
      <c r="P15" s="109">
        <f t="shared" si="8"/>
        <v>3.9521923333333335</v>
      </c>
      <c r="Q15" s="44">
        <f t="shared" si="8"/>
        <v>3.1500572196277101E-3</v>
      </c>
      <c r="R15" s="49">
        <f t="shared" si="8"/>
        <v>4</v>
      </c>
      <c r="S15" s="21"/>
    </row>
    <row r="16" spans="1:19" ht="38.25">
      <c r="A16" s="20"/>
      <c r="B16" s="42">
        <v>2</v>
      </c>
      <c r="C16" s="43" t="str">
        <f>IF(ISERROR(VLOOKUP($B16,Opps_Selection,C$12,FALSE)),"",VLOOKUP($B16,Opps_Selection,C$12,FALSE))</f>
        <v>halls</v>
      </c>
      <c r="D16" s="43" t="str">
        <f t="shared" si="0"/>
        <v>Heating - controls</v>
      </c>
      <c r="E16" s="43" t="str">
        <f t="shared" si="1"/>
        <v>Optimum start controls</v>
      </c>
      <c r="F16" s="44">
        <f t="shared" si="2"/>
        <v>1</v>
      </c>
      <c r="G16" s="44">
        <f t="shared" si="2"/>
        <v>0.3</v>
      </c>
      <c r="H16" s="43" t="str">
        <f t="shared" si="3"/>
        <v>Optimum start controls could apply to 30% of our halls</v>
      </c>
      <c r="I16" s="47" t="str">
        <f t="shared" si="4"/>
        <v>Natural gas</v>
      </c>
      <c r="J16" s="45">
        <f t="shared" si="5"/>
        <v>176541.79009090908</v>
      </c>
      <c r="K16" s="47" t="str">
        <f t="shared" si="6"/>
        <v>Electricity (grid)</v>
      </c>
      <c r="L16" s="45">
        <f t="shared" si="7"/>
        <v>0</v>
      </c>
      <c r="M16" s="45">
        <f t="shared" si="8"/>
        <v>32.654934913115454</v>
      </c>
      <c r="N16" s="46">
        <f t="shared" si="8"/>
        <v>12931.354225593719</v>
      </c>
      <c r="O16" s="46">
        <f t="shared" si="8"/>
        <v>5296.253702727272</v>
      </c>
      <c r="P16" s="109">
        <f t="shared" si="8"/>
        <v>2.4416040000000003</v>
      </c>
      <c r="Q16" s="44">
        <f t="shared" si="8"/>
        <v>2.100038146418474E-3</v>
      </c>
      <c r="R16" s="49">
        <f t="shared" si="8"/>
        <v>0</v>
      </c>
      <c r="S16" s="21"/>
    </row>
    <row r="17" spans="1:19" ht="25.5">
      <c r="A17" s="20"/>
      <c r="B17" s="42">
        <v>3</v>
      </c>
      <c r="C17" s="43" t="str">
        <f>IF(ISERROR(VLOOKUP($B17,Opps_Selection,C$12,FALSE)),"",VLOOKUP($B17,Opps_Selection,C$12,FALSE))</f>
        <v>halls</v>
      </c>
      <c r="D17" s="43" t="str">
        <f t="shared" si="0"/>
        <v>Heating - controls</v>
      </c>
      <c r="E17" s="43" t="str">
        <f t="shared" si="1"/>
        <v>Sequencing</v>
      </c>
      <c r="F17" s="44">
        <f t="shared" si="2"/>
        <v>1</v>
      </c>
      <c r="G17" s="44">
        <f t="shared" si="2"/>
        <v>0.3</v>
      </c>
      <c r="H17" s="43" t="str">
        <f t="shared" si="3"/>
        <v>Sequencing could apply to 30% of our halls</v>
      </c>
      <c r="I17" s="47" t="str">
        <f t="shared" si="4"/>
        <v>Natural gas</v>
      </c>
      <c r="J17" s="45">
        <f t="shared" si="5"/>
        <v>123579.25306363637</v>
      </c>
      <c r="K17" s="47" t="str">
        <f t="shared" si="6"/>
        <v>Electricity (grid)</v>
      </c>
      <c r="L17" s="45">
        <f t="shared" si="7"/>
        <v>0</v>
      </c>
      <c r="M17" s="45">
        <f t="shared" si="8"/>
        <v>22.858454439180818</v>
      </c>
      <c r="N17" s="46">
        <f t="shared" si="8"/>
        <v>10743.473586414984</v>
      </c>
      <c r="O17" s="46">
        <f t="shared" si="8"/>
        <v>3707.3775919090908</v>
      </c>
      <c r="P17" s="109">
        <f t="shared" si="8"/>
        <v>2.8978633333333335</v>
      </c>
      <c r="Q17" s="44">
        <f t="shared" si="8"/>
        <v>1.4700267024929316E-3</v>
      </c>
      <c r="R17" s="49">
        <f t="shared" si="8"/>
        <v>0</v>
      </c>
      <c r="S17" s="21"/>
    </row>
    <row r="18" spans="1:19" ht="25.5">
      <c r="A18" s="20"/>
      <c r="B18" s="42">
        <v>4</v>
      </c>
      <c r="C18" s="43" t="str">
        <f>IF(ISERROR(VLOOKUP($B18,Opps_Selection,C$12,FALSE)),"",VLOOKUP($B18,Opps_Selection,C$12,FALSE))</f>
        <v>halls</v>
      </c>
      <c r="D18" s="43" t="str">
        <f t="shared" si="0"/>
        <v>Heating - controls</v>
      </c>
      <c r="E18" s="43" t="str">
        <f t="shared" si="1"/>
        <v xml:space="preserve">Zoning </v>
      </c>
      <c r="F18" s="44">
        <f t="shared" si="2"/>
        <v>1</v>
      </c>
      <c r="G18" s="44">
        <f t="shared" si="2"/>
        <v>0.3</v>
      </c>
      <c r="H18" s="43" t="str">
        <f t="shared" si="3"/>
        <v>Zoning  could apply to 30% of our halls</v>
      </c>
      <c r="I18" s="47" t="str">
        <f t="shared" si="4"/>
        <v>Natural gas</v>
      </c>
      <c r="J18" s="45">
        <f t="shared" si="5"/>
        <v>88270.895045454541</v>
      </c>
      <c r="K18" s="47" t="str">
        <f t="shared" si="6"/>
        <v>Electricity (grid)</v>
      </c>
      <c r="L18" s="45">
        <f t="shared" si="7"/>
        <v>0</v>
      </c>
      <c r="M18" s="45">
        <f t="shared" si="8"/>
        <v>16.327467456557727</v>
      </c>
      <c r="N18" s="46">
        <f t="shared" si="8"/>
        <v>11135.332805372371</v>
      </c>
      <c r="O18" s="46">
        <f t="shared" si="8"/>
        <v>2648.126851363636</v>
      </c>
      <c r="P18" s="109">
        <f t="shared" si="8"/>
        <v>4.2049846666666673</v>
      </c>
      <c r="Q18" s="44">
        <f t="shared" si="8"/>
        <v>1.050019073209237E-3</v>
      </c>
      <c r="R18" s="49">
        <f t="shared" si="8"/>
        <v>0</v>
      </c>
      <c r="S18" s="21"/>
    </row>
    <row r="19" spans="1:19" ht="25.5">
      <c r="A19" s="20"/>
      <c r="B19" s="42">
        <v>5</v>
      </c>
      <c r="C19" s="43" t="str">
        <f>IF(ISERROR(VLOOKUP($B19,Opps_Selection,C$12,FALSE)),"",VLOOKUP($B19,Opps_Selection,C$12,FALSE))</f>
        <v>halls</v>
      </c>
      <c r="D19" s="43" t="str">
        <f t="shared" si="0"/>
        <v>Heating - pipework insulation</v>
      </c>
      <c r="E19" s="43" t="str">
        <f t="shared" si="1"/>
        <v>Pipework insulation</v>
      </c>
      <c r="F19" s="44">
        <f t="shared" si="2"/>
        <v>1</v>
      </c>
      <c r="G19" s="44">
        <f t="shared" si="2"/>
        <v>0.3</v>
      </c>
      <c r="H19" s="43" t="str">
        <f t="shared" si="3"/>
        <v>Pipework insulation could apply to 30% of our halls</v>
      </c>
      <c r="I19" s="47" t="str">
        <f t="shared" si="4"/>
        <v>Natural gas</v>
      </c>
      <c r="J19" s="45">
        <f t="shared" si="5"/>
        <v>65776.054049999992</v>
      </c>
      <c r="K19" s="47" t="str">
        <f t="shared" si="6"/>
        <v>Electricity (grid)</v>
      </c>
      <c r="L19" s="45">
        <f t="shared" si="7"/>
        <v>0</v>
      </c>
      <c r="M19" s="45">
        <f t="shared" si="8"/>
        <v>12.166596717628497</v>
      </c>
      <c r="N19" s="46">
        <f t="shared" si="8"/>
        <v>5742.6336507206506</v>
      </c>
      <c r="O19" s="46">
        <f t="shared" si="8"/>
        <v>1973.2816214999998</v>
      </c>
      <c r="P19" s="109">
        <f t="shared" si="8"/>
        <v>2.910194666666666</v>
      </c>
      <c r="Q19" s="44">
        <f t="shared" si="8"/>
        <v>7.8243356745591507E-4</v>
      </c>
      <c r="R19" s="49">
        <f t="shared" si="8"/>
        <v>0</v>
      </c>
      <c r="S19" s="21"/>
    </row>
    <row r="20" spans="1:19" ht="38.25">
      <c r="A20" s="20"/>
      <c r="B20" s="42">
        <v>6</v>
      </c>
      <c r="C20" s="43" t="str">
        <f t="shared" ref="C20:C51" si="9">IF(ISERROR(VLOOKUP($B20,Opps_Selection,C$12,FALSE)),"",VLOOKUP($B20,Opps_Selection,C$12,FALSE))</f>
        <v>halls</v>
      </c>
      <c r="D20" s="43" t="str">
        <f t="shared" si="0"/>
        <v>Heating - replacement boilers</v>
      </c>
      <c r="E20" s="43" t="str">
        <f t="shared" si="1"/>
        <v>Fuel switching to biofuel</v>
      </c>
      <c r="F20" s="44">
        <f t="shared" si="2"/>
        <v>1</v>
      </c>
      <c r="G20" s="44">
        <f t="shared" si="2"/>
        <v>0.3</v>
      </c>
      <c r="H20" s="43" t="str">
        <f t="shared" si="3"/>
        <v>Fuel switching to biofuel could apply to 30% of our halls</v>
      </c>
      <c r="I20" s="47" t="str">
        <f t="shared" si="4"/>
        <v>Natural gas</v>
      </c>
      <c r="J20" s="45">
        <f t="shared" si="5"/>
        <v>1503452.6639999999</v>
      </c>
      <c r="K20" s="47" t="str">
        <f t="shared" si="6"/>
        <v>Electricity (grid)</v>
      </c>
      <c r="L20" s="45">
        <f t="shared" si="7"/>
        <v>0</v>
      </c>
      <c r="M20" s="45">
        <f t="shared" si="8"/>
        <v>278.09363926007995</v>
      </c>
      <c r="N20" s="46">
        <f t="shared" si="8"/>
        <v>223309.1923258442</v>
      </c>
      <c r="O20" s="46">
        <f t="shared" si="8"/>
        <v>45103.579919999996</v>
      </c>
      <c r="P20" s="109">
        <f t="shared" si="8"/>
        <v>4.9510303333333328</v>
      </c>
      <c r="Q20" s="44">
        <f t="shared" si="8"/>
        <v>1.7884195827563773E-2</v>
      </c>
      <c r="R20" s="49">
        <f t="shared" si="8"/>
        <v>0</v>
      </c>
      <c r="S20" s="21"/>
    </row>
    <row r="21" spans="1:19" ht="38.25">
      <c r="A21" s="20"/>
      <c r="B21" s="42">
        <v>7</v>
      </c>
      <c r="C21" s="43" t="str">
        <f t="shared" si="9"/>
        <v>halls</v>
      </c>
      <c r="D21" s="43" t="str">
        <f t="shared" si="0"/>
        <v>Heating - replacement boilers</v>
      </c>
      <c r="E21" s="43" t="str">
        <f t="shared" si="1"/>
        <v>Upgrade to condensing boilers</v>
      </c>
      <c r="F21" s="44">
        <f t="shared" si="2"/>
        <v>1</v>
      </c>
      <c r="G21" s="44">
        <f t="shared" si="2"/>
        <v>0.3</v>
      </c>
      <c r="H21" s="43" t="str">
        <f t="shared" si="3"/>
        <v>Upgrade to condensing boilers could apply to 30% of our halls</v>
      </c>
      <c r="I21" s="47" t="str">
        <f t="shared" si="4"/>
        <v>Natural gas</v>
      </c>
      <c r="J21" s="45">
        <f t="shared" si="5"/>
        <v>375863.16599999997</v>
      </c>
      <c r="K21" s="47" t="str">
        <f t="shared" si="6"/>
        <v>Electricity (grid)</v>
      </c>
      <c r="L21" s="45">
        <f t="shared" si="7"/>
        <v>0</v>
      </c>
      <c r="M21" s="45">
        <f t="shared" si="8"/>
        <v>69.523409815019988</v>
      </c>
      <c r="N21" s="46">
        <f t="shared" si="8"/>
        <v>55827.298081461049</v>
      </c>
      <c r="O21" s="46">
        <f t="shared" si="8"/>
        <v>11275.894979999999</v>
      </c>
      <c r="P21" s="109">
        <f t="shared" si="8"/>
        <v>4.9510303333333328</v>
      </c>
      <c r="Q21" s="44">
        <f t="shared" si="8"/>
        <v>4.4710489568909433E-3</v>
      </c>
      <c r="R21" s="49">
        <f t="shared" si="8"/>
        <v>0</v>
      </c>
      <c r="S21" s="21"/>
    </row>
    <row r="22" spans="1:19" ht="38.25">
      <c r="A22" s="20"/>
      <c r="B22" s="42">
        <v>8</v>
      </c>
      <c r="C22" s="43" t="str">
        <f t="shared" si="9"/>
        <v>halls</v>
      </c>
      <c r="D22" s="43" t="str">
        <f t="shared" si="0"/>
        <v>ICT</v>
      </c>
      <c r="E22" s="43" t="str">
        <f t="shared" si="1"/>
        <v xml:space="preserve">IT Management software </v>
      </c>
      <c r="F22" s="44">
        <f t="shared" si="2"/>
        <v>1</v>
      </c>
      <c r="G22" s="44">
        <f t="shared" si="2"/>
        <v>0.3</v>
      </c>
      <c r="H22" s="43" t="str">
        <f t="shared" si="3"/>
        <v>IT Management software  could apply to 30% of our halls</v>
      </c>
      <c r="I22" s="47" t="str">
        <f t="shared" si="4"/>
        <v>Natural gas</v>
      </c>
      <c r="J22" s="45">
        <f t="shared" si="5"/>
        <v>0</v>
      </c>
      <c r="K22" s="47" t="str">
        <f t="shared" si="6"/>
        <v>Electricity (grid)</v>
      </c>
      <c r="L22" s="45">
        <f t="shared" si="7"/>
        <v>59068.925999999992</v>
      </c>
      <c r="M22" s="45">
        <f t="shared" si="8"/>
        <v>31.72119464052</v>
      </c>
      <c r="N22" s="46">
        <f t="shared" si="8"/>
        <v>9326.0312243128792</v>
      </c>
      <c r="O22" s="46">
        <f t="shared" si="8"/>
        <v>4725.514079999999</v>
      </c>
      <c r="P22" s="109">
        <f t="shared" si="8"/>
        <v>1.9735485000000001</v>
      </c>
      <c r="Q22" s="44">
        <f t="shared" si="8"/>
        <v>2.0399893300140021E-3</v>
      </c>
      <c r="R22" s="49">
        <f t="shared" si="8"/>
        <v>0</v>
      </c>
      <c r="S22" s="21"/>
    </row>
    <row r="23" spans="1:19" ht="25.5">
      <c r="A23" s="20"/>
      <c r="B23" s="42">
        <v>9</v>
      </c>
      <c r="C23" s="43" t="str">
        <f t="shared" si="9"/>
        <v>halls</v>
      </c>
      <c r="D23" s="43" t="str">
        <f t="shared" si="0"/>
        <v>ICT</v>
      </c>
      <c r="E23" s="43" t="str">
        <f t="shared" si="1"/>
        <v xml:space="preserve">LCD flat screens </v>
      </c>
      <c r="F23" s="44">
        <f t="shared" si="2"/>
        <v>1</v>
      </c>
      <c r="G23" s="44">
        <f t="shared" si="2"/>
        <v>0.3</v>
      </c>
      <c r="H23" s="43" t="str">
        <f t="shared" si="3"/>
        <v>LCD flat screens  could apply to 30% of our halls</v>
      </c>
      <c r="I23" s="47" t="str">
        <f t="shared" si="4"/>
        <v>Natural gas</v>
      </c>
      <c r="J23" s="45">
        <f t="shared" si="5"/>
        <v>0</v>
      </c>
      <c r="K23" s="47" t="str">
        <f t="shared" si="6"/>
        <v>Electricity (grid)</v>
      </c>
      <c r="L23" s="45">
        <f t="shared" si="7"/>
        <v>59068.925999999992</v>
      </c>
      <c r="M23" s="45">
        <f t="shared" si="8"/>
        <v>31.72119464052</v>
      </c>
      <c r="N23" s="46">
        <f t="shared" si="8"/>
        <v>133292.45987946505</v>
      </c>
      <c r="O23" s="46">
        <f t="shared" si="8"/>
        <v>4725.514079999999</v>
      </c>
      <c r="P23" s="109">
        <f t="shared" si="8"/>
        <v>28.206975500000009</v>
      </c>
      <c r="Q23" s="44">
        <f t="shared" si="8"/>
        <v>2.0399893300140021E-3</v>
      </c>
      <c r="R23" s="49">
        <f t="shared" si="8"/>
        <v>0</v>
      </c>
      <c r="S23" s="21"/>
    </row>
    <row r="24" spans="1:19" ht="38.25">
      <c r="A24" s="20"/>
      <c r="B24" s="42">
        <v>10</v>
      </c>
      <c r="C24" s="43" t="str">
        <f t="shared" si="9"/>
        <v>halls</v>
      </c>
      <c r="D24" s="43" t="str">
        <f t="shared" si="0"/>
        <v>ICT</v>
      </c>
      <c r="E24" s="43" t="str">
        <f t="shared" si="1"/>
        <v xml:space="preserve">Printer rationalisation </v>
      </c>
      <c r="F24" s="44">
        <f t="shared" si="2"/>
        <v>1</v>
      </c>
      <c r="G24" s="44">
        <f t="shared" si="2"/>
        <v>0.3</v>
      </c>
      <c r="H24" s="43" t="str">
        <f t="shared" si="3"/>
        <v>Printer rationalisation  could apply to 30% of our halls</v>
      </c>
      <c r="I24" s="47" t="str">
        <f t="shared" si="4"/>
        <v>Natural gas</v>
      </c>
      <c r="J24" s="45">
        <f t="shared" si="5"/>
        <v>0</v>
      </c>
      <c r="K24" s="47" t="str">
        <f t="shared" si="6"/>
        <v>Electricity (grid)</v>
      </c>
      <c r="L24" s="45">
        <f t="shared" si="7"/>
        <v>59068.925999999992</v>
      </c>
      <c r="M24" s="45">
        <f t="shared" si="8"/>
        <v>31.72119464052</v>
      </c>
      <c r="N24" s="46">
        <f t="shared" si="8"/>
        <v>38065.433568624001</v>
      </c>
      <c r="O24" s="46">
        <f t="shared" si="8"/>
        <v>4725.514079999999</v>
      </c>
      <c r="P24" s="109">
        <f t="shared" si="8"/>
        <v>8.0553000000000026</v>
      </c>
      <c r="Q24" s="44">
        <f t="shared" si="8"/>
        <v>2.0399893300140021E-3</v>
      </c>
      <c r="R24" s="49">
        <f t="shared" si="8"/>
        <v>0</v>
      </c>
      <c r="S24" s="21"/>
    </row>
    <row r="25" spans="1:19" ht="38.25">
      <c r="A25" s="20"/>
      <c r="B25" s="42">
        <v>11</v>
      </c>
      <c r="C25" s="43" t="str">
        <f t="shared" si="9"/>
        <v>halls</v>
      </c>
      <c r="D25" s="43" t="str">
        <f t="shared" si="0"/>
        <v>ICT</v>
      </c>
      <c r="E25" s="43" t="str">
        <f t="shared" si="1"/>
        <v xml:space="preserve">Virtualisation/thin computers </v>
      </c>
      <c r="F25" s="44">
        <f t="shared" si="2"/>
        <v>1</v>
      </c>
      <c r="G25" s="44">
        <f t="shared" si="2"/>
        <v>0.3</v>
      </c>
      <c r="H25" s="43" t="str">
        <f t="shared" si="3"/>
        <v>Virtualisation/thin computers  could apply to 30% of our halls</v>
      </c>
      <c r="I25" s="47" t="str">
        <f t="shared" si="4"/>
        <v>Natural gas</v>
      </c>
      <c r="J25" s="45">
        <f t="shared" si="5"/>
        <v>0</v>
      </c>
      <c r="K25" s="47" t="str">
        <f t="shared" si="6"/>
        <v>Electricity (grid)</v>
      </c>
      <c r="L25" s="45">
        <f t="shared" si="7"/>
        <v>49224.104999999996</v>
      </c>
      <c r="M25" s="45">
        <f t="shared" ref="M25:R34" si="10">IF($C25="","",VLOOKUP($B25,Opps_Selection,M$12,FALSE))</f>
        <v>26.4343288671</v>
      </c>
      <c r="N25" s="46">
        <f t="shared" si="10"/>
        <v>16019.2032934626</v>
      </c>
      <c r="O25" s="46">
        <f t="shared" si="10"/>
        <v>3937.9283999999998</v>
      </c>
      <c r="P25" s="109">
        <f t="shared" si="10"/>
        <v>4.0679265000000004</v>
      </c>
      <c r="Q25" s="44">
        <f t="shared" si="10"/>
        <v>1.6999911083450019E-3</v>
      </c>
      <c r="R25" s="49">
        <f t="shared" si="10"/>
        <v>0</v>
      </c>
      <c r="S25" s="21"/>
    </row>
    <row r="26" spans="1:19" ht="38.25">
      <c r="A26" s="20"/>
      <c r="B26" s="42">
        <v>12</v>
      </c>
      <c r="C26" s="43" t="str">
        <f t="shared" si="9"/>
        <v>halls</v>
      </c>
      <c r="D26" s="43" t="str">
        <f t="shared" si="0"/>
        <v>Lighting - controls</v>
      </c>
      <c r="E26" s="43" t="str">
        <f t="shared" si="1"/>
        <v>Automatic lighting controls</v>
      </c>
      <c r="F26" s="44">
        <f t="shared" si="2"/>
        <v>1</v>
      </c>
      <c r="G26" s="44">
        <f t="shared" si="2"/>
        <v>0.3</v>
      </c>
      <c r="H26" s="43" t="str">
        <f t="shared" si="3"/>
        <v>Automatic lighting controls could apply to 30% of our halls</v>
      </c>
      <c r="I26" s="47" t="str">
        <f t="shared" si="4"/>
        <v>Natural gas</v>
      </c>
      <c r="J26" s="45">
        <f t="shared" si="5"/>
        <v>0</v>
      </c>
      <c r="K26" s="47" t="str">
        <f t="shared" si="6"/>
        <v>Electricity (grid)</v>
      </c>
      <c r="L26" s="45">
        <f t="shared" si="7"/>
        <v>585766.84950000001</v>
      </c>
      <c r="M26" s="45">
        <f t="shared" si="10"/>
        <v>314.56851351849002</v>
      </c>
      <c r="N26" s="46">
        <f t="shared" si="10"/>
        <v>377482.21622218803</v>
      </c>
      <c r="O26" s="46">
        <f t="shared" si="10"/>
        <v>46861.347959999999</v>
      </c>
      <c r="P26" s="109">
        <f t="shared" si="10"/>
        <v>8.0553000000000008</v>
      </c>
      <c r="Q26" s="44">
        <f t="shared" si="10"/>
        <v>2.0229894189305524E-2</v>
      </c>
      <c r="R26" s="49">
        <f t="shared" si="10"/>
        <v>0</v>
      </c>
      <c r="S26" s="21"/>
    </row>
    <row r="27" spans="1:19" ht="25.5">
      <c r="A27" s="20"/>
      <c r="B27" s="42">
        <v>13</v>
      </c>
      <c r="C27" s="43" t="str">
        <f t="shared" si="9"/>
        <v>halls</v>
      </c>
      <c r="D27" s="43" t="str">
        <f t="shared" si="0"/>
        <v>Lighting - controls</v>
      </c>
      <c r="E27" s="43" t="str">
        <f t="shared" si="1"/>
        <v>Localised lighting</v>
      </c>
      <c r="F27" s="44">
        <f t="shared" si="2"/>
        <v>1</v>
      </c>
      <c r="G27" s="44">
        <f t="shared" si="2"/>
        <v>0.3</v>
      </c>
      <c r="H27" s="43" t="str">
        <f t="shared" si="3"/>
        <v>Localised lighting could apply to 30% of our halls</v>
      </c>
      <c r="I27" s="47" t="str">
        <f t="shared" si="4"/>
        <v>Natural gas</v>
      </c>
      <c r="J27" s="45">
        <f t="shared" si="5"/>
        <v>0</v>
      </c>
      <c r="K27" s="47" t="str">
        <f t="shared" si="6"/>
        <v>Electricity (grid)</v>
      </c>
      <c r="L27" s="45">
        <f t="shared" si="7"/>
        <v>836809.78500000003</v>
      </c>
      <c r="M27" s="45">
        <f t="shared" si="10"/>
        <v>449.38359074070007</v>
      </c>
      <c r="N27" s="46">
        <f t="shared" si="10"/>
        <v>224691.79537035004</v>
      </c>
      <c r="O27" s="46">
        <f t="shared" si="10"/>
        <v>66944.782800000001</v>
      </c>
      <c r="P27" s="109">
        <f t="shared" si="10"/>
        <v>3.3563750000000003</v>
      </c>
      <c r="Q27" s="44">
        <f t="shared" si="10"/>
        <v>2.8899848841865035E-2</v>
      </c>
      <c r="R27" s="49">
        <f t="shared" si="10"/>
        <v>0</v>
      </c>
      <c r="S27" s="21"/>
    </row>
    <row r="28" spans="1:19" ht="38.25">
      <c r="A28" s="20"/>
      <c r="B28" s="42">
        <v>14</v>
      </c>
      <c r="C28" s="43" t="str">
        <f t="shared" si="9"/>
        <v>halls</v>
      </c>
      <c r="D28" s="43" t="str">
        <f t="shared" si="0"/>
        <v>Lighting - replacement fittings</v>
      </c>
      <c r="E28" s="43" t="str">
        <f t="shared" si="1"/>
        <v>Retrofit/replace lighting to T5</v>
      </c>
      <c r="F28" s="44">
        <f t="shared" si="2"/>
        <v>1</v>
      </c>
      <c r="G28" s="44">
        <f t="shared" si="2"/>
        <v>0.3</v>
      </c>
      <c r="H28" s="43" t="str">
        <f t="shared" si="3"/>
        <v>Retrofit/replace lighting to T5 could apply to 30% of our halls</v>
      </c>
      <c r="I28" s="47" t="str">
        <f t="shared" si="4"/>
        <v>Natural gas</v>
      </c>
      <c r="J28" s="45">
        <f t="shared" si="5"/>
        <v>0</v>
      </c>
      <c r="K28" s="47" t="str">
        <f t="shared" si="6"/>
        <v>Electricity (grid)</v>
      </c>
      <c r="L28" s="45">
        <f t="shared" si="7"/>
        <v>133889.5656</v>
      </c>
      <c r="M28" s="45">
        <f t="shared" si="10"/>
        <v>71.901374518512</v>
      </c>
      <c r="N28" s="46">
        <f t="shared" si="10"/>
        <v>45513.570070218098</v>
      </c>
      <c r="O28" s="46">
        <f t="shared" si="10"/>
        <v>10711.165247999999</v>
      </c>
      <c r="P28" s="109">
        <f t="shared" si="10"/>
        <v>4.2491707500000002</v>
      </c>
      <c r="Q28" s="44">
        <f t="shared" si="10"/>
        <v>4.6239758146984049E-3</v>
      </c>
      <c r="R28" s="49">
        <f t="shared" si="10"/>
        <v>0</v>
      </c>
      <c r="S28" s="21"/>
    </row>
    <row r="29" spans="1:19" ht="38.25">
      <c r="A29" s="20"/>
      <c r="B29" s="42">
        <v>15</v>
      </c>
      <c r="C29" s="43" t="str">
        <f t="shared" si="9"/>
        <v>halls</v>
      </c>
      <c r="D29" s="43" t="str">
        <f t="shared" si="0"/>
        <v>Misc</v>
      </c>
      <c r="E29" s="43" t="str">
        <f t="shared" si="1"/>
        <v>Awareness raising campaign</v>
      </c>
      <c r="F29" s="44">
        <f t="shared" si="2"/>
        <v>1</v>
      </c>
      <c r="G29" s="44">
        <f t="shared" si="2"/>
        <v>0.3</v>
      </c>
      <c r="H29" s="43" t="str">
        <f t="shared" si="3"/>
        <v>Awareness raising campaign could apply to 30% of our halls</v>
      </c>
      <c r="I29" s="47" t="str">
        <f t="shared" si="4"/>
        <v>Natural gas</v>
      </c>
      <c r="J29" s="45">
        <f t="shared" si="5"/>
        <v>131552.10810000001</v>
      </c>
      <c r="K29" s="47" t="str">
        <f t="shared" si="6"/>
        <v>Electricity (grid)</v>
      </c>
      <c r="L29" s="45">
        <f t="shared" si="7"/>
        <v>234306.73980000004</v>
      </c>
      <c r="M29" s="45">
        <f t="shared" si="10"/>
        <v>150.16059884265303</v>
      </c>
      <c r="N29" s="46">
        <f t="shared" si="10"/>
        <v>75080.299421326519</v>
      </c>
      <c r="O29" s="46">
        <f t="shared" si="10"/>
        <v>22691.102427000002</v>
      </c>
      <c r="P29" s="109">
        <f t="shared" si="10"/>
        <v>3.3087991058552069</v>
      </c>
      <c r="Q29" s="44">
        <f t="shared" si="10"/>
        <v>9.6568248106340404E-3</v>
      </c>
      <c r="R29" s="49">
        <f t="shared" si="10"/>
        <v>0</v>
      </c>
      <c r="S29" s="21"/>
    </row>
    <row r="30" spans="1:19" ht="38.25">
      <c r="A30" s="20"/>
      <c r="B30" s="42">
        <v>16</v>
      </c>
      <c r="C30" s="43" t="str">
        <f t="shared" si="9"/>
        <v>halls</v>
      </c>
      <c r="D30" s="43" t="str">
        <f t="shared" si="0"/>
        <v>Misc</v>
      </c>
      <c r="E30" s="43" t="str">
        <f t="shared" si="1"/>
        <v>Equipment timer controls</v>
      </c>
      <c r="F30" s="44">
        <f t="shared" si="2"/>
        <v>1</v>
      </c>
      <c r="G30" s="44">
        <f t="shared" si="2"/>
        <v>0.3</v>
      </c>
      <c r="H30" s="43" t="str">
        <f t="shared" si="3"/>
        <v>Equipment timer controls could apply to 30% of our halls</v>
      </c>
      <c r="I30" s="47" t="str">
        <f t="shared" si="4"/>
        <v>Natural gas</v>
      </c>
      <c r="J30" s="45">
        <f t="shared" si="5"/>
        <v>0</v>
      </c>
      <c r="K30" s="47" t="str">
        <f t="shared" si="6"/>
        <v>Electricity (grid)</v>
      </c>
      <c r="L30" s="45">
        <f t="shared" si="7"/>
        <v>78758.567999999985</v>
      </c>
      <c r="M30" s="45">
        <f t="shared" si="10"/>
        <v>42.294926187359998</v>
      </c>
      <c r="N30" s="46">
        <f t="shared" si="10"/>
        <v>12984.542339519519</v>
      </c>
      <c r="O30" s="46">
        <f t="shared" si="10"/>
        <v>6300.6854399999984</v>
      </c>
      <c r="P30" s="109">
        <f t="shared" si="10"/>
        <v>2.0608142500000004</v>
      </c>
      <c r="Q30" s="44">
        <f t="shared" si="10"/>
        <v>2.7199857733520029E-3</v>
      </c>
      <c r="R30" s="49">
        <f t="shared" si="10"/>
        <v>0</v>
      </c>
      <c r="S30" s="21"/>
    </row>
    <row r="31" spans="1:19" ht="38.25">
      <c r="A31" s="20"/>
      <c r="B31" s="42">
        <v>17</v>
      </c>
      <c r="C31" s="43" t="str">
        <f t="shared" si="9"/>
        <v>Buildings Category 2</v>
      </c>
      <c r="D31" s="43" t="str">
        <f t="shared" si="0"/>
        <v>BMS fine tuning</v>
      </c>
      <c r="E31" s="43" t="str">
        <f t="shared" si="1"/>
        <v>BMS fine tuning</v>
      </c>
      <c r="F31" s="44">
        <f t="shared" si="2"/>
        <v>1</v>
      </c>
      <c r="G31" s="44">
        <f t="shared" si="2"/>
        <v>0.3</v>
      </c>
      <c r="H31" s="43" t="str">
        <f t="shared" si="3"/>
        <v>BMS fine tuning could apply to 30% of our Buildings Category 2</v>
      </c>
      <c r="I31" s="47" t="str">
        <f t="shared" si="4"/>
        <v>Natural gas</v>
      </c>
      <c r="J31" s="45">
        <f t="shared" si="5"/>
        <v>90000</v>
      </c>
      <c r="K31" s="47" t="str">
        <f t="shared" si="6"/>
        <v>Electricity (grid)</v>
      </c>
      <c r="L31" s="45">
        <f t="shared" si="7"/>
        <v>22800</v>
      </c>
      <c r="M31" s="45">
        <f t="shared" si="10"/>
        <v>28.891355999999998</v>
      </c>
      <c r="N31" s="46">
        <f t="shared" si="10"/>
        <v>13578.937319999999</v>
      </c>
      <c r="O31" s="46">
        <f t="shared" si="10"/>
        <v>4524</v>
      </c>
      <c r="P31" s="109">
        <f t="shared" si="10"/>
        <v>3.001533448275862</v>
      </c>
      <c r="Q31" s="44">
        <f t="shared" si="10"/>
        <v>1.8580024692496846E-3</v>
      </c>
      <c r="R31" s="49">
        <f t="shared" si="10"/>
        <v>0</v>
      </c>
      <c r="S31" s="21"/>
    </row>
    <row r="32" spans="1:19" ht="38.25">
      <c r="A32" s="20"/>
      <c r="B32" s="42">
        <v>18</v>
      </c>
      <c r="C32" s="43" t="str">
        <f t="shared" si="9"/>
        <v>Buildings Category 2</v>
      </c>
      <c r="D32" s="43" t="str">
        <f t="shared" si="0"/>
        <v>Building fabric</v>
      </c>
      <c r="E32" s="43" t="str">
        <f t="shared" si="1"/>
        <v>Loft insulation</v>
      </c>
      <c r="F32" s="44">
        <f t="shared" si="2"/>
        <v>1</v>
      </c>
      <c r="G32" s="44">
        <f t="shared" si="2"/>
        <v>0.3</v>
      </c>
      <c r="H32" s="43" t="str">
        <f t="shared" si="3"/>
        <v>Loft insulation could apply to 30% of our Buildings Category 2</v>
      </c>
      <c r="I32" s="47" t="str">
        <f t="shared" si="4"/>
        <v>Natural gas</v>
      </c>
      <c r="J32" s="45">
        <f t="shared" si="5"/>
        <v>169090.90909090909</v>
      </c>
      <c r="K32" s="47" t="str">
        <f t="shared" si="6"/>
        <v>Electricity (grid)</v>
      </c>
      <c r="L32" s="45">
        <f t="shared" si="7"/>
        <v>0</v>
      </c>
      <c r="M32" s="45">
        <f t="shared" si="10"/>
        <v>31.276745454545452</v>
      </c>
      <c r="N32" s="46">
        <f t="shared" si="10"/>
        <v>17702.637927272724</v>
      </c>
      <c r="O32" s="46">
        <f t="shared" si="10"/>
        <v>5072.727272727273</v>
      </c>
      <c r="P32" s="109">
        <f t="shared" si="10"/>
        <v>3.4897673333333326</v>
      </c>
      <c r="Q32" s="44">
        <f t="shared" si="10"/>
        <v>2.0114068126341768E-3</v>
      </c>
      <c r="R32" s="49">
        <f t="shared" si="10"/>
        <v>0</v>
      </c>
      <c r="S32" s="21"/>
    </row>
    <row r="33" spans="1:19" ht="38.25">
      <c r="A33" s="20"/>
      <c r="B33" s="42">
        <v>19</v>
      </c>
      <c r="C33" s="43" t="str">
        <f t="shared" si="9"/>
        <v>Buildings Category 2</v>
      </c>
      <c r="D33" s="43" t="str">
        <f t="shared" si="0"/>
        <v>Heating - controls</v>
      </c>
      <c r="E33" s="43" t="str">
        <f t="shared" si="1"/>
        <v>Heating control systems</v>
      </c>
      <c r="F33" s="44">
        <f t="shared" si="2"/>
        <v>1</v>
      </c>
      <c r="G33" s="44">
        <f t="shared" si="2"/>
        <v>0.3</v>
      </c>
      <c r="H33" s="43" t="str">
        <f t="shared" si="3"/>
        <v>Heating control systems could apply to 30% of our Buildings Category 2</v>
      </c>
      <c r="I33" s="47" t="str">
        <f t="shared" si="4"/>
        <v>Natural gas</v>
      </c>
      <c r="J33" s="45">
        <f t="shared" si="5"/>
        <v>507272.72727272724</v>
      </c>
      <c r="K33" s="47" t="str">
        <f t="shared" si="6"/>
        <v>Electricity (grid)</v>
      </c>
      <c r="L33" s="45">
        <f t="shared" si="7"/>
        <v>0</v>
      </c>
      <c r="M33" s="45">
        <f t="shared" si="10"/>
        <v>93.830236363636359</v>
      </c>
      <c r="N33" s="46">
        <f t="shared" si="10"/>
        <v>60145.181509090908</v>
      </c>
      <c r="O33" s="46">
        <f t="shared" si="10"/>
        <v>15218.181818181816</v>
      </c>
      <c r="P33" s="109">
        <f t="shared" si="10"/>
        <v>3.952192333333334</v>
      </c>
      <c r="Q33" s="44">
        <f t="shared" si="10"/>
        <v>6.0342204379025309E-3</v>
      </c>
      <c r="R33" s="49">
        <f t="shared" si="10"/>
        <v>0</v>
      </c>
      <c r="S33" s="21"/>
    </row>
    <row r="34" spans="1:19" ht="38.25">
      <c r="A34" s="20"/>
      <c r="B34" s="42">
        <v>20</v>
      </c>
      <c r="C34" s="43" t="str">
        <f t="shared" si="9"/>
        <v>Buildings Category 2</v>
      </c>
      <c r="D34" s="43" t="str">
        <f t="shared" si="0"/>
        <v>Heating - controls</v>
      </c>
      <c r="E34" s="43" t="str">
        <f t="shared" si="1"/>
        <v>Sequencing</v>
      </c>
      <c r="F34" s="44">
        <f t="shared" si="2"/>
        <v>1</v>
      </c>
      <c r="G34" s="44">
        <f t="shared" si="2"/>
        <v>0.3</v>
      </c>
      <c r="H34" s="43" t="str">
        <f t="shared" si="3"/>
        <v>Sequencing could apply to 30% of our Buildings Category 2</v>
      </c>
      <c r="I34" s="47" t="str">
        <f t="shared" si="4"/>
        <v>Natural gas</v>
      </c>
      <c r="J34" s="45">
        <f t="shared" si="5"/>
        <v>236727.27272727274</v>
      </c>
      <c r="K34" s="47" t="str">
        <f t="shared" si="6"/>
        <v>Electricity (grid)</v>
      </c>
      <c r="L34" s="45">
        <f t="shared" si="7"/>
        <v>0</v>
      </c>
      <c r="M34" s="45">
        <f t="shared" si="10"/>
        <v>43.787443636363633</v>
      </c>
      <c r="N34" s="46">
        <f t="shared" si="10"/>
        <v>20580.098509090909</v>
      </c>
      <c r="O34" s="46">
        <f t="shared" si="10"/>
        <v>7101.818181818182</v>
      </c>
      <c r="P34" s="109">
        <f t="shared" si="10"/>
        <v>2.8978633333333335</v>
      </c>
      <c r="Q34" s="44">
        <f t="shared" si="10"/>
        <v>2.8159695376878476E-3</v>
      </c>
      <c r="R34" s="49">
        <f t="shared" si="10"/>
        <v>0</v>
      </c>
      <c r="S34" s="21"/>
    </row>
    <row r="35" spans="1:19" ht="38.25">
      <c r="A35" s="20"/>
      <c r="B35" s="42">
        <v>21</v>
      </c>
      <c r="C35" s="43" t="str">
        <f t="shared" si="9"/>
        <v>Buildings Category 2</v>
      </c>
      <c r="D35" s="43" t="str">
        <f t="shared" si="0"/>
        <v>Lighting - controls</v>
      </c>
      <c r="E35" s="43" t="str">
        <f t="shared" si="1"/>
        <v>Automatic lighting controls</v>
      </c>
      <c r="F35" s="44">
        <f t="shared" ref="F35:G54" si="11">IF($C35="Renewables","100%",IF($C35="","",VLOOKUP($B35,Opps_Selection,F$12,FALSE)))</f>
        <v>0.5</v>
      </c>
      <c r="G35" s="44">
        <f t="shared" si="11"/>
        <v>0.3</v>
      </c>
      <c r="H35" s="43" t="str">
        <f t="shared" si="3"/>
        <v>Automatic lighting controls could apply to 15% of our Buildings Category 2</v>
      </c>
      <c r="I35" s="47" t="str">
        <f t="shared" si="4"/>
        <v>Natural gas</v>
      </c>
      <c r="J35" s="45">
        <f t="shared" si="5"/>
        <v>0</v>
      </c>
      <c r="K35" s="47" t="str">
        <f t="shared" si="6"/>
        <v>Electricity (grid)</v>
      </c>
      <c r="L35" s="45">
        <f t="shared" si="7"/>
        <v>199500</v>
      </c>
      <c r="M35" s="45">
        <f t="shared" ref="M35:R44" si="12">IF($C35="","",VLOOKUP($B35,Opps_Selection,M$12,FALSE))</f>
        <v>107.13549</v>
      </c>
      <c r="N35" s="46">
        <f t="shared" si="12"/>
        <v>128562.588</v>
      </c>
      <c r="O35" s="46">
        <f t="shared" si="12"/>
        <v>15960</v>
      </c>
      <c r="P35" s="109">
        <f t="shared" si="12"/>
        <v>8.0553000000000008</v>
      </c>
      <c r="Q35" s="44">
        <f t="shared" si="12"/>
        <v>6.8898810067715378E-3</v>
      </c>
      <c r="R35" s="49">
        <f t="shared" si="12"/>
        <v>0</v>
      </c>
      <c r="S35" s="21"/>
    </row>
    <row r="36" spans="1:19" ht="38.25">
      <c r="A36" s="20"/>
      <c r="B36" s="42">
        <v>22</v>
      </c>
      <c r="C36" s="43" t="str">
        <f t="shared" si="9"/>
        <v>Transport Category 1</v>
      </c>
      <c r="D36" s="43">
        <f t="shared" si="0"/>
        <v>0</v>
      </c>
      <c r="E36" s="43" t="str">
        <f t="shared" si="1"/>
        <v>Effective travel plans</v>
      </c>
      <c r="F36" s="44">
        <f t="shared" si="11"/>
        <v>0.5</v>
      </c>
      <c r="G36" s="44">
        <f t="shared" si="11"/>
        <v>1</v>
      </c>
      <c r="H36" s="43" t="str">
        <f t="shared" si="3"/>
        <v>Effective travel plans could apply to 50% of our Transport Category 1</v>
      </c>
      <c r="I36" s="47">
        <f t="shared" si="4"/>
        <v>0</v>
      </c>
      <c r="J36" s="45">
        <f t="shared" si="5"/>
        <v>0</v>
      </c>
      <c r="K36" s="47">
        <f t="shared" si="6"/>
        <v>0</v>
      </c>
      <c r="L36" s="45">
        <f t="shared" si="7"/>
        <v>0</v>
      </c>
      <c r="M36" s="45">
        <f t="shared" si="12"/>
        <v>0</v>
      </c>
      <c r="N36" s="46">
        <f t="shared" si="12"/>
        <v>0</v>
      </c>
      <c r="O36" s="46">
        <f t="shared" si="12"/>
        <v>0</v>
      </c>
      <c r="P36" s="109">
        <f t="shared" si="12"/>
        <v>0</v>
      </c>
      <c r="Q36" s="44">
        <f t="shared" si="12"/>
        <v>0</v>
      </c>
      <c r="R36" s="49">
        <f t="shared" si="12"/>
        <v>3</v>
      </c>
      <c r="S36" s="21"/>
    </row>
    <row r="37" spans="1:19" ht="51">
      <c r="A37" s="20"/>
      <c r="B37" s="42">
        <v>23</v>
      </c>
      <c r="C37" s="43" t="str">
        <f t="shared" si="9"/>
        <v>Transport Category 1</v>
      </c>
      <c r="D37" s="43">
        <f t="shared" si="0"/>
        <v>0</v>
      </c>
      <c r="E37" s="43" t="str">
        <f t="shared" si="1"/>
        <v>Low carbon replacement vehicles</v>
      </c>
      <c r="F37" s="44">
        <f t="shared" si="11"/>
        <v>0.5</v>
      </c>
      <c r="G37" s="44">
        <f t="shared" si="11"/>
        <v>1</v>
      </c>
      <c r="H37" s="43" t="str">
        <f t="shared" si="3"/>
        <v>Low carbon replacement vehicles could apply to 50% of our Transport Category 1</v>
      </c>
      <c r="I37" s="47">
        <f t="shared" si="4"/>
        <v>0</v>
      </c>
      <c r="J37" s="45">
        <f t="shared" si="5"/>
        <v>0</v>
      </c>
      <c r="K37" s="47">
        <f t="shared" si="6"/>
        <v>0</v>
      </c>
      <c r="L37" s="45">
        <f t="shared" si="7"/>
        <v>0</v>
      </c>
      <c r="M37" s="45">
        <f t="shared" si="12"/>
        <v>0</v>
      </c>
      <c r="N37" s="46">
        <f t="shared" si="12"/>
        <v>0</v>
      </c>
      <c r="O37" s="46">
        <f t="shared" si="12"/>
        <v>0</v>
      </c>
      <c r="P37" s="109">
        <f t="shared" si="12"/>
        <v>0</v>
      </c>
      <c r="Q37" s="44">
        <f t="shared" si="12"/>
        <v>0</v>
      </c>
      <c r="R37" s="49">
        <f t="shared" si="12"/>
        <v>0</v>
      </c>
      <c r="S37" s="21"/>
    </row>
    <row r="38" spans="1:19" ht="38.25">
      <c r="A38" s="20"/>
      <c r="B38" s="42">
        <v>24</v>
      </c>
      <c r="C38" s="43" t="str">
        <f t="shared" si="9"/>
        <v>Transport Category 1</v>
      </c>
      <c r="D38" s="43">
        <f t="shared" si="0"/>
        <v>0</v>
      </c>
      <c r="E38" s="43" t="str">
        <f t="shared" si="1"/>
        <v>Biodiesel replacement fuel</v>
      </c>
      <c r="F38" s="44">
        <f t="shared" si="11"/>
        <v>0.5</v>
      </c>
      <c r="G38" s="44">
        <f t="shared" si="11"/>
        <v>1</v>
      </c>
      <c r="H38" s="43" t="str">
        <f t="shared" si="3"/>
        <v>Biodiesel replacement fuel could apply to 50% of our Transport Category 1</v>
      </c>
      <c r="I38" s="47">
        <f t="shared" si="4"/>
        <v>0</v>
      </c>
      <c r="J38" s="45">
        <f t="shared" si="5"/>
        <v>0</v>
      </c>
      <c r="K38" s="47">
        <f t="shared" si="6"/>
        <v>0</v>
      </c>
      <c r="L38" s="45">
        <f t="shared" si="7"/>
        <v>0</v>
      </c>
      <c r="M38" s="45">
        <f t="shared" si="12"/>
        <v>0</v>
      </c>
      <c r="N38" s="46">
        <f t="shared" si="12"/>
        <v>0</v>
      </c>
      <c r="O38" s="46">
        <f t="shared" si="12"/>
        <v>0</v>
      </c>
      <c r="P38" s="109">
        <f t="shared" si="12"/>
        <v>0</v>
      </c>
      <c r="Q38" s="44">
        <f t="shared" si="12"/>
        <v>0</v>
      </c>
      <c r="R38" s="49">
        <f t="shared" si="12"/>
        <v>0</v>
      </c>
      <c r="S38" s="21"/>
    </row>
    <row r="39" spans="1:19" ht="38.25">
      <c r="A39" s="20"/>
      <c r="B39" s="42">
        <v>25</v>
      </c>
      <c r="C39" s="43" t="str">
        <f t="shared" si="9"/>
        <v>Transport Category 1</v>
      </c>
      <c r="D39" s="43">
        <f t="shared" si="0"/>
        <v>0</v>
      </c>
      <c r="E39" s="43" t="str">
        <f t="shared" si="1"/>
        <v xml:space="preserve">Fuel management </v>
      </c>
      <c r="F39" s="44">
        <f t="shared" si="11"/>
        <v>0.5</v>
      </c>
      <c r="G39" s="44">
        <f t="shared" si="11"/>
        <v>1</v>
      </c>
      <c r="H39" s="43" t="str">
        <f t="shared" si="3"/>
        <v>Fuel management  could apply to 50% of our Transport Category 1</v>
      </c>
      <c r="I39" s="47">
        <f t="shared" si="4"/>
        <v>0</v>
      </c>
      <c r="J39" s="45">
        <f t="shared" si="5"/>
        <v>0</v>
      </c>
      <c r="K39" s="47">
        <f t="shared" si="6"/>
        <v>0</v>
      </c>
      <c r="L39" s="45">
        <f t="shared" si="7"/>
        <v>0</v>
      </c>
      <c r="M39" s="45">
        <f t="shared" si="12"/>
        <v>0</v>
      </c>
      <c r="N39" s="46">
        <f t="shared" si="12"/>
        <v>0</v>
      </c>
      <c r="O39" s="46">
        <f t="shared" si="12"/>
        <v>0</v>
      </c>
      <c r="P39" s="109">
        <f t="shared" si="12"/>
        <v>0</v>
      </c>
      <c r="Q39" s="44">
        <f t="shared" si="12"/>
        <v>0</v>
      </c>
      <c r="R39" s="49">
        <f t="shared" si="12"/>
        <v>0</v>
      </c>
      <c r="S39" s="21"/>
    </row>
    <row r="40" spans="1:19" ht="51">
      <c r="A40" s="20"/>
      <c r="B40" s="42">
        <v>26</v>
      </c>
      <c r="C40" s="43" t="str">
        <f t="shared" si="9"/>
        <v>Transport Category 1</v>
      </c>
      <c r="D40" s="43">
        <f t="shared" si="0"/>
        <v>0</v>
      </c>
      <c r="E40" s="43" t="str">
        <f t="shared" si="1"/>
        <v>Driver training &amp; maintenance</v>
      </c>
      <c r="F40" s="44">
        <f t="shared" si="11"/>
        <v>0.5</v>
      </c>
      <c r="G40" s="44">
        <f t="shared" si="11"/>
        <v>1</v>
      </c>
      <c r="H40" s="43" t="str">
        <f t="shared" si="3"/>
        <v>Driver training &amp; maintenance could apply to 50% of our Transport Category 1</v>
      </c>
      <c r="I40" s="47">
        <f t="shared" si="4"/>
        <v>0</v>
      </c>
      <c r="J40" s="45">
        <f t="shared" si="5"/>
        <v>0</v>
      </c>
      <c r="K40" s="47">
        <f t="shared" si="6"/>
        <v>0</v>
      </c>
      <c r="L40" s="45">
        <f t="shared" si="7"/>
        <v>0</v>
      </c>
      <c r="M40" s="45">
        <f t="shared" si="12"/>
        <v>0</v>
      </c>
      <c r="N40" s="46">
        <f t="shared" si="12"/>
        <v>0</v>
      </c>
      <c r="O40" s="46">
        <f t="shared" si="12"/>
        <v>0</v>
      </c>
      <c r="P40" s="109">
        <f t="shared" si="12"/>
        <v>0</v>
      </c>
      <c r="Q40" s="44">
        <f t="shared" si="12"/>
        <v>0</v>
      </c>
      <c r="R40" s="49">
        <f t="shared" si="12"/>
        <v>0</v>
      </c>
      <c r="S40" s="21"/>
    </row>
    <row r="41" spans="1:19" ht="38.25">
      <c r="A41" s="20"/>
      <c r="B41" s="42">
        <v>27</v>
      </c>
      <c r="C41" s="43" t="str">
        <f t="shared" si="9"/>
        <v>business Air</v>
      </c>
      <c r="D41" s="43">
        <f t="shared" si="0"/>
        <v>0</v>
      </c>
      <c r="E41" s="43" t="str">
        <f t="shared" si="1"/>
        <v>Web Conference</v>
      </c>
      <c r="F41" s="44">
        <f t="shared" si="11"/>
        <v>1</v>
      </c>
      <c r="G41" s="44">
        <f t="shared" si="11"/>
        <v>0.5</v>
      </c>
      <c r="H41" s="43" t="str">
        <f t="shared" si="3"/>
        <v>Web Conference could apply to 50% of our business Air</v>
      </c>
      <c r="I41" s="47">
        <f t="shared" si="4"/>
        <v>0</v>
      </c>
      <c r="J41" s="45">
        <f t="shared" si="5"/>
        <v>0</v>
      </c>
      <c r="K41" s="47">
        <f t="shared" si="6"/>
        <v>0</v>
      </c>
      <c r="L41" s="45">
        <f t="shared" si="7"/>
        <v>0</v>
      </c>
      <c r="M41" s="45">
        <f t="shared" si="12"/>
        <v>0</v>
      </c>
      <c r="N41" s="46">
        <f t="shared" si="12"/>
        <v>0</v>
      </c>
      <c r="O41" s="46">
        <f t="shared" si="12"/>
        <v>0</v>
      </c>
      <c r="P41" s="109">
        <f t="shared" si="12"/>
        <v>0</v>
      </c>
      <c r="Q41" s="44">
        <f t="shared" si="12"/>
        <v>0</v>
      </c>
      <c r="R41" s="49">
        <f t="shared" si="12"/>
        <v>0</v>
      </c>
      <c r="S41" s="21"/>
    </row>
    <row r="42" spans="1:19">
      <c r="A42" s="20"/>
      <c r="B42" s="42">
        <v>28</v>
      </c>
      <c r="C42" s="43" t="str">
        <f t="shared" si="9"/>
        <v/>
      </c>
      <c r="D42" s="43" t="str">
        <f t="shared" si="0"/>
        <v/>
      </c>
      <c r="E42" s="43" t="str">
        <f t="shared" si="1"/>
        <v/>
      </c>
      <c r="F42" s="44" t="str">
        <f t="shared" si="11"/>
        <v/>
      </c>
      <c r="G42" s="44" t="str">
        <f t="shared" si="11"/>
        <v/>
      </c>
      <c r="H42" s="43" t="str">
        <f t="shared" si="3"/>
        <v/>
      </c>
      <c r="I42" s="47" t="str">
        <f t="shared" si="4"/>
        <v/>
      </c>
      <c r="J42" s="45" t="str">
        <f t="shared" si="5"/>
        <v/>
      </c>
      <c r="K42" s="47" t="str">
        <f t="shared" si="6"/>
        <v/>
      </c>
      <c r="L42" s="45" t="str">
        <f t="shared" si="7"/>
        <v/>
      </c>
      <c r="M42" s="45" t="str">
        <f t="shared" si="12"/>
        <v/>
      </c>
      <c r="N42" s="46" t="str">
        <f t="shared" si="12"/>
        <v/>
      </c>
      <c r="O42" s="46" t="str">
        <f t="shared" si="12"/>
        <v/>
      </c>
      <c r="P42" s="109" t="str">
        <f t="shared" si="12"/>
        <v/>
      </c>
      <c r="Q42" s="44" t="str">
        <f t="shared" si="12"/>
        <v/>
      </c>
      <c r="R42" s="49" t="str">
        <f t="shared" si="12"/>
        <v/>
      </c>
      <c r="S42" s="21"/>
    </row>
    <row r="43" spans="1:19">
      <c r="A43" s="20"/>
      <c r="B43" s="42">
        <v>29</v>
      </c>
      <c r="C43" s="43" t="str">
        <f t="shared" si="9"/>
        <v/>
      </c>
      <c r="D43" s="43" t="str">
        <f t="shared" si="0"/>
        <v/>
      </c>
      <c r="E43" s="43" t="str">
        <f t="shared" si="1"/>
        <v/>
      </c>
      <c r="F43" s="44" t="str">
        <f t="shared" si="11"/>
        <v/>
      </c>
      <c r="G43" s="44" t="str">
        <f t="shared" si="11"/>
        <v/>
      </c>
      <c r="H43" s="43" t="str">
        <f t="shared" si="3"/>
        <v/>
      </c>
      <c r="I43" s="47" t="str">
        <f t="shared" si="4"/>
        <v/>
      </c>
      <c r="J43" s="45" t="str">
        <f t="shared" si="5"/>
        <v/>
      </c>
      <c r="K43" s="47" t="str">
        <f t="shared" si="6"/>
        <v/>
      </c>
      <c r="L43" s="45" t="str">
        <f t="shared" si="7"/>
        <v/>
      </c>
      <c r="M43" s="45" t="str">
        <f t="shared" si="12"/>
        <v/>
      </c>
      <c r="N43" s="46" t="str">
        <f t="shared" si="12"/>
        <v/>
      </c>
      <c r="O43" s="46" t="str">
        <f t="shared" si="12"/>
        <v/>
      </c>
      <c r="P43" s="109" t="str">
        <f t="shared" si="12"/>
        <v/>
      </c>
      <c r="Q43" s="44" t="str">
        <f t="shared" si="12"/>
        <v/>
      </c>
      <c r="R43" s="49" t="str">
        <f t="shared" si="12"/>
        <v/>
      </c>
      <c r="S43" s="21"/>
    </row>
    <row r="44" spans="1:19">
      <c r="A44" s="20"/>
      <c r="B44" s="42">
        <v>30</v>
      </c>
      <c r="C44" s="43" t="str">
        <f t="shared" si="9"/>
        <v/>
      </c>
      <c r="D44" s="43" t="str">
        <f t="shared" si="0"/>
        <v/>
      </c>
      <c r="E44" s="43" t="str">
        <f t="shared" si="1"/>
        <v/>
      </c>
      <c r="F44" s="44" t="str">
        <f t="shared" si="11"/>
        <v/>
      </c>
      <c r="G44" s="44" t="str">
        <f t="shared" si="11"/>
        <v/>
      </c>
      <c r="H44" s="43" t="str">
        <f t="shared" si="3"/>
        <v/>
      </c>
      <c r="I44" s="47" t="str">
        <f t="shared" si="4"/>
        <v/>
      </c>
      <c r="J44" s="45" t="str">
        <f t="shared" si="5"/>
        <v/>
      </c>
      <c r="K44" s="47" t="str">
        <f t="shared" si="6"/>
        <v/>
      </c>
      <c r="L44" s="45" t="str">
        <f t="shared" si="7"/>
        <v/>
      </c>
      <c r="M44" s="45" t="str">
        <f t="shared" si="12"/>
        <v/>
      </c>
      <c r="N44" s="46" t="str">
        <f t="shared" si="12"/>
        <v/>
      </c>
      <c r="O44" s="46" t="str">
        <f t="shared" si="12"/>
        <v/>
      </c>
      <c r="P44" s="109" t="str">
        <f t="shared" si="12"/>
        <v/>
      </c>
      <c r="Q44" s="44" t="str">
        <f t="shared" si="12"/>
        <v/>
      </c>
      <c r="R44" s="49" t="str">
        <f t="shared" si="12"/>
        <v/>
      </c>
      <c r="S44" s="21"/>
    </row>
    <row r="45" spans="1:19">
      <c r="A45" s="20"/>
      <c r="B45" s="42">
        <v>31</v>
      </c>
      <c r="C45" s="43" t="str">
        <f t="shared" si="9"/>
        <v/>
      </c>
      <c r="D45" s="43" t="str">
        <f t="shared" si="0"/>
        <v/>
      </c>
      <c r="E45" s="43" t="str">
        <f t="shared" si="1"/>
        <v/>
      </c>
      <c r="F45" s="44" t="str">
        <f t="shared" si="11"/>
        <v/>
      </c>
      <c r="G45" s="44" t="str">
        <f t="shared" si="11"/>
        <v/>
      </c>
      <c r="H45" s="43" t="str">
        <f t="shared" si="3"/>
        <v/>
      </c>
      <c r="I45" s="47" t="str">
        <f t="shared" si="4"/>
        <v/>
      </c>
      <c r="J45" s="45" t="str">
        <f t="shared" si="5"/>
        <v/>
      </c>
      <c r="K45" s="47" t="str">
        <f t="shared" si="6"/>
        <v/>
      </c>
      <c r="L45" s="45" t="str">
        <f t="shared" si="7"/>
        <v/>
      </c>
      <c r="M45" s="45" t="str">
        <f t="shared" ref="M45:R54" si="13">IF($C45="","",VLOOKUP($B45,Opps_Selection,M$12,FALSE))</f>
        <v/>
      </c>
      <c r="N45" s="46" t="str">
        <f t="shared" si="13"/>
        <v/>
      </c>
      <c r="O45" s="46" t="str">
        <f t="shared" si="13"/>
        <v/>
      </c>
      <c r="P45" s="109" t="str">
        <f t="shared" si="13"/>
        <v/>
      </c>
      <c r="Q45" s="44" t="str">
        <f t="shared" si="13"/>
        <v/>
      </c>
      <c r="R45" s="49" t="str">
        <f t="shared" si="13"/>
        <v/>
      </c>
      <c r="S45" s="21"/>
    </row>
    <row r="46" spans="1:19">
      <c r="A46" s="20"/>
      <c r="B46" s="42">
        <v>32</v>
      </c>
      <c r="C46" s="43" t="str">
        <f t="shared" si="9"/>
        <v/>
      </c>
      <c r="D46" s="43" t="str">
        <f t="shared" si="0"/>
        <v/>
      </c>
      <c r="E46" s="43" t="str">
        <f t="shared" si="1"/>
        <v/>
      </c>
      <c r="F46" s="44" t="str">
        <f t="shared" si="11"/>
        <v/>
      </c>
      <c r="G46" s="44" t="str">
        <f t="shared" si="11"/>
        <v/>
      </c>
      <c r="H46" s="43" t="str">
        <f t="shared" si="3"/>
        <v/>
      </c>
      <c r="I46" s="47" t="str">
        <f t="shared" si="4"/>
        <v/>
      </c>
      <c r="J46" s="45" t="str">
        <f t="shared" si="5"/>
        <v/>
      </c>
      <c r="K46" s="47" t="str">
        <f t="shared" si="6"/>
        <v/>
      </c>
      <c r="L46" s="45" t="str">
        <f t="shared" si="7"/>
        <v/>
      </c>
      <c r="M46" s="45" t="str">
        <f t="shared" si="13"/>
        <v/>
      </c>
      <c r="N46" s="46" t="str">
        <f t="shared" si="13"/>
        <v/>
      </c>
      <c r="O46" s="46" t="str">
        <f t="shared" si="13"/>
        <v/>
      </c>
      <c r="P46" s="109" t="str">
        <f t="shared" si="13"/>
        <v/>
      </c>
      <c r="Q46" s="44" t="str">
        <f t="shared" si="13"/>
        <v/>
      </c>
      <c r="R46" s="49" t="str">
        <f t="shared" si="13"/>
        <v/>
      </c>
      <c r="S46" s="21"/>
    </row>
    <row r="47" spans="1:19">
      <c r="A47" s="20"/>
      <c r="B47" s="42">
        <v>33</v>
      </c>
      <c r="C47" s="43" t="str">
        <f t="shared" si="9"/>
        <v/>
      </c>
      <c r="D47" s="43" t="str">
        <f t="shared" ref="D47:D78" si="14">IF(C47="Renewables","Energy generation",IF($C47="","",VLOOKUP($B47,Opps_Selection,D$12,FALSE)))</f>
        <v/>
      </c>
      <c r="E47" s="43" t="str">
        <f t="shared" ref="E47:E78" si="15">IF($C47="","",VLOOKUP($B47,Opps_Selection,E$12,FALSE))</f>
        <v/>
      </c>
      <c r="F47" s="44" t="str">
        <f t="shared" si="11"/>
        <v/>
      </c>
      <c r="G47" s="44" t="str">
        <f t="shared" si="11"/>
        <v/>
      </c>
      <c r="H47" s="43" t="str">
        <f t="shared" si="3"/>
        <v/>
      </c>
      <c r="I47" s="47" t="str">
        <f t="shared" ref="I47:I78" si="16">IF(C47="","",IF(VLOOKUP(B47,Opps_Selection,23,FALSE)="Buildings","Natural gas",IF(VLOOKUP(B47,Opps_Selection,23,FALSE)="Road","Petrol",IF(VLOOKUP(B47,Opps_Selection,23,FALSE)="Air","Aviation Fuel",0))))</f>
        <v/>
      </c>
      <c r="J47" s="45" t="str">
        <f t="shared" ref="J47:J78" si="17">IF($C47="","",IF(I47="Natural gas",VLOOKUP($B47,Opps_Selection,J$12,FALSE),IF(I47="Petrol",VLOOKUP($B47,Opps_Selection,12,FALSE),IF(I47="Aviation Fuel",VLOOKUP($B47,Opps_Selection,14,FALSE),0))))</f>
        <v/>
      </c>
      <c r="K47" s="47" t="str">
        <f t="shared" ref="K47:K78" si="18">IF(C47="","",IF(VLOOKUP(B47,Opps_Selection,23,FALSE)="Buildings","Electricity (grid)",IF(VLOOKUP(B47,Opps_Selection,23,FALSE)="Road","Diesel",0)))</f>
        <v/>
      </c>
      <c r="L47" s="45" t="str">
        <f t="shared" ref="L47:L78" si="19">IF($C47="","",IF(K47="Electricity (grid)",VLOOKUP($B47,Opps_Selection,L$12,FALSE),IF(K47="Diesel",VLOOKUP($B47,Opps_Selection,13,FALSE),0)))</f>
        <v/>
      </c>
      <c r="M47" s="45" t="str">
        <f t="shared" si="13"/>
        <v/>
      </c>
      <c r="N47" s="46" t="str">
        <f t="shared" si="13"/>
        <v/>
      </c>
      <c r="O47" s="46" t="str">
        <f t="shared" si="13"/>
        <v/>
      </c>
      <c r="P47" s="109" t="str">
        <f t="shared" si="13"/>
        <v/>
      </c>
      <c r="Q47" s="44" t="str">
        <f t="shared" si="13"/>
        <v/>
      </c>
      <c r="R47" s="49" t="str">
        <f t="shared" si="13"/>
        <v/>
      </c>
      <c r="S47" s="21"/>
    </row>
    <row r="48" spans="1:19">
      <c r="A48" s="20"/>
      <c r="B48" s="42">
        <v>34</v>
      </c>
      <c r="C48" s="43" t="str">
        <f t="shared" si="9"/>
        <v/>
      </c>
      <c r="D48" s="43" t="str">
        <f t="shared" si="14"/>
        <v/>
      </c>
      <c r="E48" s="43" t="str">
        <f t="shared" si="15"/>
        <v/>
      </c>
      <c r="F48" s="44" t="str">
        <f t="shared" si="11"/>
        <v/>
      </c>
      <c r="G48" s="44" t="str">
        <f t="shared" si="11"/>
        <v/>
      </c>
      <c r="H48" s="43" t="str">
        <f t="shared" si="3"/>
        <v/>
      </c>
      <c r="I48" s="47" t="str">
        <f t="shared" si="16"/>
        <v/>
      </c>
      <c r="J48" s="45" t="str">
        <f t="shared" si="17"/>
        <v/>
      </c>
      <c r="K48" s="47" t="str">
        <f t="shared" si="18"/>
        <v/>
      </c>
      <c r="L48" s="45" t="str">
        <f t="shared" si="19"/>
        <v/>
      </c>
      <c r="M48" s="45" t="str">
        <f t="shared" si="13"/>
        <v/>
      </c>
      <c r="N48" s="46" t="str">
        <f t="shared" si="13"/>
        <v/>
      </c>
      <c r="O48" s="46" t="str">
        <f t="shared" si="13"/>
        <v/>
      </c>
      <c r="P48" s="109" t="str">
        <f t="shared" si="13"/>
        <v/>
      </c>
      <c r="Q48" s="44" t="str">
        <f t="shared" si="13"/>
        <v/>
      </c>
      <c r="R48" s="49" t="str">
        <f t="shared" si="13"/>
        <v/>
      </c>
      <c r="S48" s="21"/>
    </row>
    <row r="49" spans="1:19">
      <c r="A49" s="20"/>
      <c r="B49" s="42">
        <v>35</v>
      </c>
      <c r="C49" s="43" t="str">
        <f t="shared" si="9"/>
        <v/>
      </c>
      <c r="D49" s="43" t="str">
        <f t="shared" si="14"/>
        <v/>
      </c>
      <c r="E49" s="43" t="str">
        <f t="shared" si="15"/>
        <v/>
      </c>
      <c r="F49" s="44" t="str">
        <f t="shared" si="11"/>
        <v/>
      </c>
      <c r="G49" s="44" t="str">
        <f t="shared" si="11"/>
        <v/>
      </c>
      <c r="H49" s="43" t="str">
        <f t="shared" si="3"/>
        <v/>
      </c>
      <c r="I49" s="47" t="str">
        <f t="shared" si="16"/>
        <v/>
      </c>
      <c r="J49" s="45" t="str">
        <f t="shared" si="17"/>
        <v/>
      </c>
      <c r="K49" s="47" t="str">
        <f t="shared" si="18"/>
        <v/>
      </c>
      <c r="L49" s="45" t="str">
        <f t="shared" si="19"/>
        <v/>
      </c>
      <c r="M49" s="45" t="str">
        <f t="shared" si="13"/>
        <v/>
      </c>
      <c r="N49" s="46" t="str">
        <f t="shared" si="13"/>
        <v/>
      </c>
      <c r="O49" s="46" t="str">
        <f t="shared" si="13"/>
        <v/>
      </c>
      <c r="P49" s="109" t="str">
        <f t="shared" si="13"/>
        <v/>
      </c>
      <c r="Q49" s="44" t="str">
        <f t="shared" si="13"/>
        <v/>
      </c>
      <c r="R49" s="49" t="str">
        <f t="shared" si="13"/>
        <v/>
      </c>
      <c r="S49" s="21"/>
    </row>
    <row r="50" spans="1:19">
      <c r="A50" s="20"/>
      <c r="B50" s="42">
        <v>36</v>
      </c>
      <c r="C50" s="43" t="str">
        <f t="shared" si="9"/>
        <v/>
      </c>
      <c r="D50" s="43" t="str">
        <f t="shared" si="14"/>
        <v/>
      </c>
      <c r="E50" s="43" t="str">
        <f t="shared" si="15"/>
        <v/>
      </c>
      <c r="F50" s="44" t="str">
        <f t="shared" si="11"/>
        <v/>
      </c>
      <c r="G50" s="44" t="str">
        <f t="shared" si="11"/>
        <v/>
      </c>
      <c r="H50" s="43" t="str">
        <f t="shared" si="3"/>
        <v/>
      </c>
      <c r="I50" s="47" t="str">
        <f t="shared" si="16"/>
        <v/>
      </c>
      <c r="J50" s="45" t="str">
        <f t="shared" si="17"/>
        <v/>
      </c>
      <c r="K50" s="47" t="str">
        <f t="shared" si="18"/>
        <v/>
      </c>
      <c r="L50" s="45" t="str">
        <f t="shared" si="19"/>
        <v/>
      </c>
      <c r="M50" s="45" t="str">
        <f t="shared" si="13"/>
        <v/>
      </c>
      <c r="N50" s="46" t="str">
        <f t="shared" si="13"/>
        <v/>
      </c>
      <c r="O50" s="46" t="str">
        <f t="shared" si="13"/>
        <v/>
      </c>
      <c r="P50" s="109" t="str">
        <f t="shared" si="13"/>
        <v/>
      </c>
      <c r="Q50" s="44" t="str">
        <f t="shared" si="13"/>
        <v/>
      </c>
      <c r="R50" s="49" t="str">
        <f t="shared" si="13"/>
        <v/>
      </c>
      <c r="S50" s="21"/>
    </row>
    <row r="51" spans="1:19">
      <c r="A51" s="20"/>
      <c r="B51" s="42">
        <v>37</v>
      </c>
      <c r="C51" s="43" t="str">
        <f t="shared" si="9"/>
        <v/>
      </c>
      <c r="D51" s="43" t="str">
        <f t="shared" si="14"/>
        <v/>
      </c>
      <c r="E51" s="43" t="str">
        <f t="shared" si="15"/>
        <v/>
      </c>
      <c r="F51" s="44" t="str">
        <f t="shared" si="11"/>
        <v/>
      </c>
      <c r="G51" s="44" t="str">
        <f t="shared" si="11"/>
        <v/>
      </c>
      <c r="H51" s="43" t="str">
        <f t="shared" si="3"/>
        <v/>
      </c>
      <c r="I51" s="47" t="str">
        <f t="shared" si="16"/>
        <v/>
      </c>
      <c r="J51" s="45" t="str">
        <f t="shared" si="17"/>
        <v/>
      </c>
      <c r="K51" s="47" t="str">
        <f t="shared" si="18"/>
        <v/>
      </c>
      <c r="L51" s="45" t="str">
        <f t="shared" si="19"/>
        <v/>
      </c>
      <c r="M51" s="45" t="str">
        <f t="shared" si="13"/>
        <v/>
      </c>
      <c r="N51" s="46" t="str">
        <f t="shared" si="13"/>
        <v/>
      </c>
      <c r="O51" s="46" t="str">
        <f t="shared" si="13"/>
        <v/>
      </c>
      <c r="P51" s="109" t="str">
        <f t="shared" si="13"/>
        <v/>
      </c>
      <c r="Q51" s="44" t="str">
        <f t="shared" si="13"/>
        <v/>
      </c>
      <c r="R51" s="49" t="str">
        <f t="shared" si="13"/>
        <v/>
      </c>
      <c r="S51" s="21"/>
    </row>
    <row r="52" spans="1:19">
      <c r="A52" s="20"/>
      <c r="B52" s="42">
        <v>38</v>
      </c>
      <c r="C52" s="43" t="str">
        <f t="shared" ref="C52:C83" si="20">IF(ISERROR(VLOOKUP($B52,Opps_Selection,C$12,FALSE)),"",VLOOKUP($B52,Opps_Selection,C$12,FALSE))</f>
        <v/>
      </c>
      <c r="D52" s="43" t="str">
        <f t="shared" si="14"/>
        <v/>
      </c>
      <c r="E52" s="43" t="str">
        <f t="shared" si="15"/>
        <v/>
      </c>
      <c r="F52" s="44" t="str">
        <f t="shared" si="11"/>
        <v/>
      </c>
      <c r="G52" s="44" t="str">
        <f t="shared" si="11"/>
        <v/>
      </c>
      <c r="H52" s="43" t="str">
        <f t="shared" si="3"/>
        <v/>
      </c>
      <c r="I52" s="47" t="str">
        <f t="shared" si="16"/>
        <v/>
      </c>
      <c r="J52" s="45" t="str">
        <f t="shared" si="17"/>
        <v/>
      </c>
      <c r="K52" s="47" t="str">
        <f t="shared" si="18"/>
        <v/>
      </c>
      <c r="L52" s="45" t="str">
        <f t="shared" si="19"/>
        <v/>
      </c>
      <c r="M52" s="45" t="str">
        <f t="shared" si="13"/>
        <v/>
      </c>
      <c r="N52" s="46" t="str">
        <f t="shared" si="13"/>
        <v/>
      </c>
      <c r="O52" s="46" t="str">
        <f t="shared" si="13"/>
        <v/>
      </c>
      <c r="P52" s="109" t="str">
        <f t="shared" si="13"/>
        <v/>
      </c>
      <c r="Q52" s="44" t="str">
        <f t="shared" si="13"/>
        <v/>
      </c>
      <c r="R52" s="49" t="str">
        <f t="shared" si="13"/>
        <v/>
      </c>
      <c r="S52" s="21"/>
    </row>
    <row r="53" spans="1:19">
      <c r="A53" s="20"/>
      <c r="B53" s="42">
        <v>39</v>
      </c>
      <c r="C53" s="43" t="str">
        <f t="shared" si="20"/>
        <v/>
      </c>
      <c r="D53" s="43" t="str">
        <f t="shared" si="14"/>
        <v/>
      </c>
      <c r="E53" s="43" t="str">
        <f t="shared" si="15"/>
        <v/>
      </c>
      <c r="F53" s="44" t="str">
        <f t="shared" si="11"/>
        <v/>
      </c>
      <c r="G53" s="44" t="str">
        <f t="shared" si="11"/>
        <v/>
      </c>
      <c r="H53" s="43" t="str">
        <f t="shared" si="3"/>
        <v/>
      </c>
      <c r="I53" s="47" t="str">
        <f t="shared" si="16"/>
        <v/>
      </c>
      <c r="J53" s="45" t="str">
        <f t="shared" si="17"/>
        <v/>
      </c>
      <c r="K53" s="47" t="str">
        <f t="shared" si="18"/>
        <v/>
      </c>
      <c r="L53" s="45" t="str">
        <f t="shared" si="19"/>
        <v/>
      </c>
      <c r="M53" s="45" t="str">
        <f t="shared" si="13"/>
        <v/>
      </c>
      <c r="N53" s="46" t="str">
        <f t="shared" si="13"/>
        <v/>
      </c>
      <c r="O53" s="46" t="str">
        <f t="shared" si="13"/>
        <v/>
      </c>
      <c r="P53" s="109" t="str">
        <f t="shared" si="13"/>
        <v/>
      </c>
      <c r="Q53" s="44" t="str">
        <f t="shared" si="13"/>
        <v/>
      </c>
      <c r="R53" s="49" t="str">
        <f t="shared" si="13"/>
        <v/>
      </c>
      <c r="S53" s="21"/>
    </row>
    <row r="54" spans="1:19">
      <c r="A54" s="20"/>
      <c r="B54" s="42">
        <v>40</v>
      </c>
      <c r="C54" s="43" t="str">
        <f t="shared" si="20"/>
        <v/>
      </c>
      <c r="D54" s="43" t="str">
        <f t="shared" si="14"/>
        <v/>
      </c>
      <c r="E54" s="43" t="str">
        <f t="shared" si="15"/>
        <v/>
      </c>
      <c r="F54" s="44" t="str">
        <f t="shared" si="11"/>
        <v/>
      </c>
      <c r="G54" s="44" t="str">
        <f t="shared" si="11"/>
        <v/>
      </c>
      <c r="H54" s="43" t="str">
        <f t="shared" si="3"/>
        <v/>
      </c>
      <c r="I54" s="47" t="str">
        <f t="shared" si="16"/>
        <v/>
      </c>
      <c r="J54" s="45" t="str">
        <f t="shared" si="17"/>
        <v/>
      </c>
      <c r="K54" s="47" t="str">
        <f t="shared" si="18"/>
        <v/>
      </c>
      <c r="L54" s="45" t="str">
        <f t="shared" si="19"/>
        <v/>
      </c>
      <c r="M54" s="45" t="str">
        <f t="shared" si="13"/>
        <v/>
      </c>
      <c r="N54" s="46" t="str">
        <f t="shared" si="13"/>
        <v/>
      </c>
      <c r="O54" s="46" t="str">
        <f t="shared" si="13"/>
        <v/>
      </c>
      <c r="P54" s="109" t="str">
        <f t="shared" si="13"/>
        <v/>
      </c>
      <c r="Q54" s="44" t="str">
        <f t="shared" si="13"/>
        <v/>
      </c>
      <c r="R54" s="49" t="str">
        <f t="shared" si="13"/>
        <v/>
      </c>
      <c r="S54" s="21"/>
    </row>
    <row r="55" spans="1:19">
      <c r="A55" s="20"/>
      <c r="B55" s="42">
        <v>41</v>
      </c>
      <c r="C55" s="43" t="str">
        <f t="shared" si="20"/>
        <v/>
      </c>
      <c r="D55" s="43" t="str">
        <f t="shared" si="14"/>
        <v/>
      </c>
      <c r="E55" s="43" t="str">
        <f t="shared" si="15"/>
        <v/>
      </c>
      <c r="F55" s="44" t="str">
        <f t="shared" ref="F55:G74" si="21">IF($C55="Renewables","100%",IF($C55="","",VLOOKUP($B55,Opps_Selection,F$12,FALSE)))</f>
        <v/>
      </c>
      <c r="G55" s="44" t="str">
        <f t="shared" si="21"/>
        <v/>
      </c>
      <c r="H55" s="43" t="str">
        <f t="shared" si="3"/>
        <v/>
      </c>
      <c r="I55" s="47" t="str">
        <f t="shared" si="16"/>
        <v/>
      </c>
      <c r="J55" s="45" t="str">
        <f t="shared" si="17"/>
        <v/>
      </c>
      <c r="K55" s="47" t="str">
        <f t="shared" si="18"/>
        <v/>
      </c>
      <c r="L55" s="45" t="str">
        <f t="shared" si="19"/>
        <v/>
      </c>
      <c r="M55" s="45" t="str">
        <f t="shared" ref="M55:R64" si="22">IF($C55="","",VLOOKUP($B55,Opps_Selection,M$12,FALSE))</f>
        <v/>
      </c>
      <c r="N55" s="46" t="str">
        <f t="shared" si="22"/>
        <v/>
      </c>
      <c r="O55" s="46" t="str">
        <f t="shared" si="22"/>
        <v/>
      </c>
      <c r="P55" s="109" t="str">
        <f t="shared" si="22"/>
        <v/>
      </c>
      <c r="Q55" s="44" t="str">
        <f t="shared" si="22"/>
        <v/>
      </c>
      <c r="R55" s="49" t="str">
        <f t="shared" si="22"/>
        <v/>
      </c>
      <c r="S55" s="21"/>
    </row>
    <row r="56" spans="1:19">
      <c r="A56" s="20"/>
      <c r="B56" s="42">
        <v>42</v>
      </c>
      <c r="C56" s="43" t="str">
        <f t="shared" si="20"/>
        <v/>
      </c>
      <c r="D56" s="43" t="str">
        <f t="shared" si="14"/>
        <v/>
      </c>
      <c r="E56" s="43" t="str">
        <f t="shared" si="15"/>
        <v/>
      </c>
      <c r="F56" s="44" t="str">
        <f t="shared" si="21"/>
        <v/>
      </c>
      <c r="G56" s="44" t="str">
        <f t="shared" si="21"/>
        <v/>
      </c>
      <c r="H56" s="43" t="str">
        <f t="shared" si="3"/>
        <v/>
      </c>
      <c r="I56" s="47" t="str">
        <f t="shared" si="16"/>
        <v/>
      </c>
      <c r="J56" s="45" t="str">
        <f t="shared" si="17"/>
        <v/>
      </c>
      <c r="K56" s="47" t="str">
        <f t="shared" si="18"/>
        <v/>
      </c>
      <c r="L56" s="45" t="str">
        <f t="shared" si="19"/>
        <v/>
      </c>
      <c r="M56" s="45" t="str">
        <f t="shared" si="22"/>
        <v/>
      </c>
      <c r="N56" s="46" t="str">
        <f t="shared" si="22"/>
        <v/>
      </c>
      <c r="O56" s="46" t="str">
        <f t="shared" si="22"/>
        <v/>
      </c>
      <c r="P56" s="109" t="str">
        <f t="shared" si="22"/>
        <v/>
      </c>
      <c r="Q56" s="44" t="str">
        <f t="shared" si="22"/>
        <v/>
      </c>
      <c r="R56" s="49" t="str">
        <f t="shared" si="22"/>
        <v/>
      </c>
      <c r="S56" s="21"/>
    </row>
    <row r="57" spans="1:19">
      <c r="A57" s="20"/>
      <c r="B57" s="42">
        <v>43</v>
      </c>
      <c r="C57" s="43" t="str">
        <f t="shared" si="20"/>
        <v/>
      </c>
      <c r="D57" s="43" t="str">
        <f t="shared" si="14"/>
        <v/>
      </c>
      <c r="E57" s="43" t="str">
        <f t="shared" si="15"/>
        <v/>
      </c>
      <c r="F57" s="44" t="str">
        <f t="shared" si="21"/>
        <v/>
      </c>
      <c r="G57" s="44" t="str">
        <f t="shared" si="21"/>
        <v/>
      </c>
      <c r="H57" s="43" t="str">
        <f t="shared" si="3"/>
        <v/>
      </c>
      <c r="I57" s="47" t="str">
        <f t="shared" si="16"/>
        <v/>
      </c>
      <c r="J57" s="45" t="str">
        <f t="shared" si="17"/>
        <v/>
      </c>
      <c r="K57" s="47" t="str">
        <f t="shared" si="18"/>
        <v/>
      </c>
      <c r="L57" s="45" t="str">
        <f t="shared" si="19"/>
        <v/>
      </c>
      <c r="M57" s="45" t="str">
        <f t="shared" si="22"/>
        <v/>
      </c>
      <c r="N57" s="46" t="str">
        <f t="shared" si="22"/>
        <v/>
      </c>
      <c r="O57" s="46" t="str">
        <f t="shared" si="22"/>
        <v/>
      </c>
      <c r="P57" s="109" t="str">
        <f t="shared" si="22"/>
        <v/>
      </c>
      <c r="Q57" s="44" t="str">
        <f t="shared" si="22"/>
        <v/>
      </c>
      <c r="R57" s="49" t="str">
        <f t="shared" si="22"/>
        <v/>
      </c>
      <c r="S57" s="21"/>
    </row>
    <row r="58" spans="1:19">
      <c r="A58" s="20"/>
      <c r="B58" s="42">
        <v>44</v>
      </c>
      <c r="C58" s="43" t="str">
        <f t="shared" si="20"/>
        <v/>
      </c>
      <c r="D58" s="43" t="str">
        <f t="shared" si="14"/>
        <v/>
      </c>
      <c r="E58" s="43" t="str">
        <f t="shared" si="15"/>
        <v/>
      </c>
      <c r="F58" s="44" t="str">
        <f t="shared" si="21"/>
        <v/>
      </c>
      <c r="G58" s="44" t="str">
        <f t="shared" si="21"/>
        <v/>
      </c>
      <c r="H58" s="43" t="str">
        <f t="shared" si="3"/>
        <v/>
      </c>
      <c r="I58" s="47" t="str">
        <f t="shared" si="16"/>
        <v/>
      </c>
      <c r="J58" s="45" t="str">
        <f t="shared" si="17"/>
        <v/>
      </c>
      <c r="K58" s="47" t="str">
        <f t="shared" si="18"/>
        <v/>
      </c>
      <c r="L58" s="45" t="str">
        <f t="shared" si="19"/>
        <v/>
      </c>
      <c r="M58" s="45" t="str">
        <f t="shared" si="22"/>
        <v/>
      </c>
      <c r="N58" s="46" t="str">
        <f t="shared" si="22"/>
        <v/>
      </c>
      <c r="O58" s="46" t="str">
        <f t="shared" si="22"/>
        <v/>
      </c>
      <c r="P58" s="109" t="str">
        <f t="shared" si="22"/>
        <v/>
      </c>
      <c r="Q58" s="44" t="str">
        <f t="shared" si="22"/>
        <v/>
      </c>
      <c r="R58" s="49" t="str">
        <f t="shared" si="22"/>
        <v/>
      </c>
      <c r="S58" s="21"/>
    </row>
    <row r="59" spans="1:19">
      <c r="A59" s="20"/>
      <c r="B59" s="42">
        <v>45</v>
      </c>
      <c r="C59" s="43" t="str">
        <f t="shared" si="20"/>
        <v/>
      </c>
      <c r="D59" s="43" t="str">
        <f t="shared" si="14"/>
        <v/>
      </c>
      <c r="E59" s="43" t="str">
        <f t="shared" si="15"/>
        <v/>
      </c>
      <c r="F59" s="44" t="str">
        <f t="shared" si="21"/>
        <v/>
      </c>
      <c r="G59" s="44" t="str">
        <f t="shared" si="21"/>
        <v/>
      </c>
      <c r="H59" s="43" t="str">
        <f t="shared" si="3"/>
        <v/>
      </c>
      <c r="I59" s="47" t="str">
        <f t="shared" si="16"/>
        <v/>
      </c>
      <c r="J59" s="45" t="str">
        <f t="shared" si="17"/>
        <v/>
      </c>
      <c r="K59" s="47" t="str">
        <f t="shared" si="18"/>
        <v/>
      </c>
      <c r="L59" s="45" t="str">
        <f t="shared" si="19"/>
        <v/>
      </c>
      <c r="M59" s="45" t="str">
        <f t="shared" si="22"/>
        <v/>
      </c>
      <c r="N59" s="46" t="str">
        <f t="shared" si="22"/>
        <v/>
      </c>
      <c r="O59" s="46" t="str">
        <f t="shared" si="22"/>
        <v/>
      </c>
      <c r="P59" s="109" t="str">
        <f t="shared" si="22"/>
        <v/>
      </c>
      <c r="Q59" s="44" t="str">
        <f t="shared" si="22"/>
        <v/>
      </c>
      <c r="R59" s="49" t="str">
        <f t="shared" si="22"/>
        <v/>
      </c>
      <c r="S59" s="21"/>
    </row>
    <row r="60" spans="1:19">
      <c r="A60" s="20"/>
      <c r="B60" s="42">
        <v>46</v>
      </c>
      <c r="C60" s="43" t="str">
        <f t="shared" si="20"/>
        <v/>
      </c>
      <c r="D60" s="43" t="str">
        <f t="shared" si="14"/>
        <v/>
      </c>
      <c r="E60" s="43" t="str">
        <f t="shared" si="15"/>
        <v/>
      </c>
      <c r="F60" s="44" t="str">
        <f t="shared" si="21"/>
        <v/>
      </c>
      <c r="G60" s="44" t="str">
        <f t="shared" si="21"/>
        <v/>
      </c>
      <c r="H60" s="43" t="str">
        <f t="shared" si="3"/>
        <v/>
      </c>
      <c r="I60" s="47" t="str">
        <f t="shared" si="16"/>
        <v/>
      </c>
      <c r="J60" s="45" t="str">
        <f t="shared" si="17"/>
        <v/>
      </c>
      <c r="K60" s="47" t="str">
        <f t="shared" si="18"/>
        <v/>
      </c>
      <c r="L60" s="45" t="str">
        <f t="shared" si="19"/>
        <v/>
      </c>
      <c r="M60" s="45" t="str">
        <f t="shared" si="22"/>
        <v/>
      </c>
      <c r="N60" s="46" t="str">
        <f t="shared" si="22"/>
        <v/>
      </c>
      <c r="O60" s="46" t="str">
        <f t="shared" si="22"/>
        <v/>
      </c>
      <c r="P60" s="109" t="str">
        <f t="shared" si="22"/>
        <v/>
      </c>
      <c r="Q60" s="44" t="str">
        <f t="shared" si="22"/>
        <v/>
      </c>
      <c r="R60" s="49" t="str">
        <f t="shared" si="22"/>
        <v/>
      </c>
      <c r="S60" s="21"/>
    </row>
    <row r="61" spans="1:19">
      <c r="A61" s="20"/>
      <c r="B61" s="42">
        <v>47</v>
      </c>
      <c r="C61" s="43" t="str">
        <f t="shared" si="20"/>
        <v/>
      </c>
      <c r="D61" s="43" t="str">
        <f t="shared" si="14"/>
        <v/>
      </c>
      <c r="E61" s="43" t="str">
        <f t="shared" si="15"/>
        <v/>
      </c>
      <c r="F61" s="44" t="str">
        <f t="shared" si="21"/>
        <v/>
      </c>
      <c r="G61" s="44" t="str">
        <f t="shared" si="21"/>
        <v/>
      </c>
      <c r="H61" s="43" t="str">
        <f t="shared" si="3"/>
        <v/>
      </c>
      <c r="I61" s="47" t="str">
        <f t="shared" si="16"/>
        <v/>
      </c>
      <c r="J61" s="45" t="str">
        <f t="shared" si="17"/>
        <v/>
      </c>
      <c r="K61" s="47" t="str">
        <f t="shared" si="18"/>
        <v/>
      </c>
      <c r="L61" s="45" t="str">
        <f t="shared" si="19"/>
        <v/>
      </c>
      <c r="M61" s="45" t="str">
        <f t="shared" si="22"/>
        <v/>
      </c>
      <c r="N61" s="46" t="str">
        <f t="shared" si="22"/>
        <v/>
      </c>
      <c r="O61" s="46" t="str">
        <f t="shared" si="22"/>
        <v/>
      </c>
      <c r="P61" s="109" t="str">
        <f t="shared" si="22"/>
        <v/>
      </c>
      <c r="Q61" s="44" t="str">
        <f t="shared" si="22"/>
        <v/>
      </c>
      <c r="R61" s="49" t="str">
        <f t="shared" si="22"/>
        <v/>
      </c>
      <c r="S61" s="21"/>
    </row>
    <row r="62" spans="1:19">
      <c r="A62" s="20"/>
      <c r="B62" s="42">
        <v>48</v>
      </c>
      <c r="C62" s="43" t="str">
        <f t="shared" si="20"/>
        <v/>
      </c>
      <c r="D62" s="43" t="str">
        <f t="shared" si="14"/>
        <v/>
      </c>
      <c r="E62" s="43" t="str">
        <f t="shared" si="15"/>
        <v/>
      </c>
      <c r="F62" s="44" t="str">
        <f t="shared" si="21"/>
        <v/>
      </c>
      <c r="G62" s="44" t="str">
        <f t="shared" si="21"/>
        <v/>
      </c>
      <c r="H62" s="43" t="str">
        <f t="shared" ref="H62:H67" si="23">IF(C62="Renewables",CONCATENATE(E62," - ",D62," (",F62,")"),IF(C62="","",CONCATENATE(E62," could apply to ",(F62*G62*100),"% of our ",C62)))</f>
        <v/>
      </c>
      <c r="I62" s="47" t="str">
        <f t="shared" si="16"/>
        <v/>
      </c>
      <c r="J62" s="45" t="str">
        <f t="shared" si="17"/>
        <v/>
      </c>
      <c r="K62" s="47" t="str">
        <f t="shared" si="18"/>
        <v/>
      </c>
      <c r="L62" s="45" t="str">
        <f t="shared" si="19"/>
        <v/>
      </c>
      <c r="M62" s="45" t="str">
        <f t="shared" si="22"/>
        <v/>
      </c>
      <c r="N62" s="46" t="str">
        <f t="shared" si="22"/>
        <v/>
      </c>
      <c r="O62" s="46" t="str">
        <f t="shared" si="22"/>
        <v/>
      </c>
      <c r="P62" s="109" t="str">
        <f t="shared" si="22"/>
        <v/>
      </c>
      <c r="Q62" s="44" t="str">
        <f t="shared" si="22"/>
        <v/>
      </c>
      <c r="R62" s="49" t="str">
        <f t="shared" si="22"/>
        <v/>
      </c>
      <c r="S62" s="21"/>
    </row>
    <row r="63" spans="1:19">
      <c r="A63" s="20"/>
      <c r="B63" s="42">
        <v>49</v>
      </c>
      <c r="C63" s="43" t="str">
        <f t="shared" si="20"/>
        <v/>
      </c>
      <c r="D63" s="43" t="str">
        <f t="shared" si="14"/>
        <v/>
      </c>
      <c r="E63" s="43" t="str">
        <f t="shared" si="15"/>
        <v/>
      </c>
      <c r="F63" s="44" t="str">
        <f t="shared" si="21"/>
        <v/>
      </c>
      <c r="G63" s="44" t="str">
        <f t="shared" si="21"/>
        <v/>
      </c>
      <c r="H63" s="43" t="str">
        <f t="shared" si="23"/>
        <v/>
      </c>
      <c r="I63" s="47" t="str">
        <f t="shared" si="16"/>
        <v/>
      </c>
      <c r="J63" s="45" t="str">
        <f t="shared" si="17"/>
        <v/>
      </c>
      <c r="K63" s="47" t="str">
        <f t="shared" si="18"/>
        <v/>
      </c>
      <c r="L63" s="45" t="str">
        <f t="shared" si="19"/>
        <v/>
      </c>
      <c r="M63" s="45" t="str">
        <f t="shared" si="22"/>
        <v/>
      </c>
      <c r="N63" s="46" t="str">
        <f t="shared" si="22"/>
        <v/>
      </c>
      <c r="O63" s="46" t="str">
        <f t="shared" si="22"/>
        <v/>
      </c>
      <c r="P63" s="109" t="str">
        <f t="shared" si="22"/>
        <v/>
      </c>
      <c r="Q63" s="44" t="str">
        <f t="shared" si="22"/>
        <v/>
      </c>
      <c r="R63" s="49" t="str">
        <f t="shared" si="22"/>
        <v/>
      </c>
      <c r="S63" s="21"/>
    </row>
    <row r="64" spans="1:19">
      <c r="A64" s="20"/>
      <c r="B64" s="42">
        <v>50</v>
      </c>
      <c r="C64" s="43" t="str">
        <f t="shared" si="20"/>
        <v/>
      </c>
      <c r="D64" s="43" t="str">
        <f t="shared" si="14"/>
        <v/>
      </c>
      <c r="E64" s="43" t="str">
        <f t="shared" si="15"/>
        <v/>
      </c>
      <c r="F64" s="44" t="str">
        <f t="shared" si="21"/>
        <v/>
      </c>
      <c r="G64" s="44" t="str">
        <f t="shared" si="21"/>
        <v/>
      </c>
      <c r="H64" s="43" t="str">
        <f t="shared" si="23"/>
        <v/>
      </c>
      <c r="I64" s="47" t="str">
        <f t="shared" si="16"/>
        <v/>
      </c>
      <c r="J64" s="45" t="str">
        <f t="shared" si="17"/>
        <v/>
      </c>
      <c r="K64" s="47" t="str">
        <f t="shared" si="18"/>
        <v/>
      </c>
      <c r="L64" s="45" t="str">
        <f t="shared" si="19"/>
        <v/>
      </c>
      <c r="M64" s="45" t="str">
        <f t="shared" si="22"/>
        <v/>
      </c>
      <c r="N64" s="46" t="str">
        <f t="shared" si="22"/>
        <v/>
      </c>
      <c r="O64" s="46" t="str">
        <f t="shared" si="22"/>
        <v/>
      </c>
      <c r="P64" s="109" t="str">
        <f t="shared" si="22"/>
        <v/>
      </c>
      <c r="Q64" s="44" t="str">
        <f t="shared" si="22"/>
        <v/>
      </c>
      <c r="R64" s="49" t="str">
        <f t="shared" si="22"/>
        <v/>
      </c>
      <c r="S64" s="21"/>
    </row>
    <row r="65" spans="1:19">
      <c r="A65" s="20"/>
      <c r="B65" s="42">
        <v>51</v>
      </c>
      <c r="C65" s="43" t="str">
        <f t="shared" si="20"/>
        <v/>
      </c>
      <c r="D65" s="43" t="str">
        <f t="shared" si="14"/>
        <v/>
      </c>
      <c r="E65" s="43" t="str">
        <f t="shared" si="15"/>
        <v/>
      </c>
      <c r="F65" s="44" t="str">
        <f t="shared" si="21"/>
        <v/>
      </c>
      <c r="G65" s="44" t="str">
        <f t="shared" si="21"/>
        <v/>
      </c>
      <c r="H65" s="43" t="str">
        <f t="shared" si="23"/>
        <v/>
      </c>
      <c r="I65" s="47" t="str">
        <f t="shared" si="16"/>
        <v/>
      </c>
      <c r="J65" s="45" t="str">
        <f t="shared" si="17"/>
        <v/>
      </c>
      <c r="K65" s="47" t="str">
        <f t="shared" si="18"/>
        <v/>
      </c>
      <c r="L65" s="45" t="str">
        <f t="shared" si="19"/>
        <v/>
      </c>
      <c r="M65" s="45" t="str">
        <f t="shared" ref="M65:R74" si="24">IF($C65="","",VLOOKUP($B65,Opps_Selection,M$12,FALSE))</f>
        <v/>
      </c>
      <c r="N65" s="46" t="str">
        <f t="shared" si="24"/>
        <v/>
      </c>
      <c r="O65" s="46" t="str">
        <f t="shared" si="24"/>
        <v/>
      </c>
      <c r="P65" s="109" t="str">
        <f t="shared" si="24"/>
        <v/>
      </c>
      <c r="Q65" s="44" t="str">
        <f t="shared" si="24"/>
        <v/>
      </c>
      <c r="R65" s="49" t="str">
        <f t="shared" si="24"/>
        <v/>
      </c>
      <c r="S65" s="21"/>
    </row>
    <row r="66" spans="1:19">
      <c r="A66" s="20"/>
      <c r="B66" s="42">
        <v>52</v>
      </c>
      <c r="C66" s="43" t="str">
        <f t="shared" si="20"/>
        <v/>
      </c>
      <c r="D66" s="43" t="str">
        <f t="shared" si="14"/>
        <v/>
      </c>
      <c r="E66" s="43" t="str">
        <f t="shared" si="15"/>
        <v/>
      </c>
      <c r="F66" s="44" t="str">
        <f t="shared" si="21"/>
        <v/>
      </c>
      <c r="G66" s="44" t="str">
        <f t="shared" si="21"/>
        <v/>
      </c>
      <c r="H66" s="43" t="str">
        <f t="shared" si="23"/>
        <v/>
      </c>
      <c r="I66" s="47" t="str">
        <f t="shared" si="16"/>
        <v/>
      </c>
      <c r="J66" s="45" t="str">
        <f t="shared" si="17"/>
        <v/>
      </c>
      <c r="K66" s="47" t="str">
        <f t="shared" si="18"/>
        <v/>
      </c>
      <c r="L66" s="45" t="str">
        <f t="shared" si="19"/>
        <v/>
      </c>
      <c r="M66" s="45" t="str">
        <f t="shared" si="24"/>
        <v/>
      </c>
      <c r="N66" s="46" t="str">
        <f t="shared" si="24"/>
        <v/>
      </c>
      <c r="O66" s="46" t="str">
        <f t="shared" si="24"/>
        <v/>
      </c>
      <c r="P66" s="109" t="str">
        <f t="shared" si="24"/>
        <v/>
      </c>
      <c r="Q66" s="44" t="str">
        <f t="shared" si="24"/>
        <v/>
      </c>
      <c r="R66" s="49" t="str">
        <f t="shared" si="24"/>
        <v/>
      </c>
      <c r="S66" s="21"/>
    </row>
    <row r="67" spans="1:19">
      <c r="A67" s="20"/>
      <c r="B67" s="42">
        <v>53</v>
      </c>
      <c r="C67" s="43" t="str">
        <f t="shared" si="20"/>
        <v/>
      </c>
      <c r="D67" s="43" t="str">
        <f t="shared" si="14"/>
        <v/>
      </c>
      <c r="E67" s="43" t="str">
        <f t="shared" si="15"/>
        <v/>
      </c>
      <c r="F67" s="44" t="str">
        <f t="shared" si="21"/>
        <v/>
      </c>
      <c r="G67" s="44" t="str">
        <f t="shared" si="21"/>
        <v/>
      </c>
      <c r="H67" s="43" t="str">
        <f t="shared" si="23"/>
        <v/>
      </c>
      <c r="I67" s="47" t="str">
        <f t="shared" si="16"/>
        <v/>
      </c>
      <c r="J67" s="45" t="str">
        <f t="shared" si="17"/>
        <v/>
      </c>
      <c r="K67" s="47" t="str">
        <f t="shared" si="18"/>
        <v/>
      </c>
      <c r="L67" s="45" t="str">
        <f t="shared" si="19"/>
        <v/>
      </c>
      <c r="M67" s="45" t="str">
        <f t="shared" si="24"/>
        <v/>
      </c>
      <c r="N67" s="46" t="str">
        <f t="shared" si="24"/>
        <v/>
      </c>
      <c r="O67" s="46" t="str">
        <f t="shared" si="24"/>
        <v/>
      </c>
      <c r="P67" s="109" t="str">
        <f t="shared" si="24"/>
        <v/>
      </c>
      <c r="Q67" s="44" t="str">
        <f t="shared" si="24"/>
        <v/>
      </c>
      <c r="R67" s="49" t="str">
        <f t="shared" si="24"/>
        <v/>
      </c>
      <c r="S67" s="21"/>
    </row>
    <row r="68" spans="1:19">
      <c r="A68" s="20"/>
      <c r="B68" s="42">
        <v>54</v>
      </c>
      <c r="C68" s="43" t="str">
        <f t="shared" si="20"/>
        <v/>
      </c>
      <c r="D68" s="43" t="str">
        <f t="shared" si="14"/>
        <v/>
      </c>
      <c r="E68" s="43" t="str">
        <f t="shared" si="15"/>
        <v/>
      </c>
      <c r="F68" s="44" t="str">
        <f t="shared" si="21"/>
        <v/>
      </c>
      <c r="G68" s="44" t="str">
        <f t="shared" si="21"/>
        <v/>
      </c>
      <c r="H68" s="43" t="str">
        <f t="shared" ref="H68:H114" si="25">IF(C68="Renewables",CONCATENATE(E68," - ",D68," (",F68,")"),IF(C68="","",CONCATENATE(E68," could apply to ",(F68*G68*100),"% of our ",C68)))</f>
        <v/>
      </c>
      <c r="I68" s="47" t="str">
        <f t="shared" si="16"/>
        <v/>
      </c>
      <c r="J68" s="45" t="str">
        <f t="shared" si="17"/>
        <v/>
      </c>
      <c r="K68" s="47" t="str">
        <f t="shared" si="18"/>
        <v/>
      </c>
      <c r="L68" s="45" t="str">
        <f t="shared" si="19"/>
        <v/>
      </c>
      <c r="M68" s="45" t="str">
        <f t="shared" si="24"/>
        <v/>
      </c>
      <c r="N68" s="46" t="str">
        <f t="shared" si="24"/>
        <v/>
      </c>
      <c r="O68" s="46" t="str">
        <f t="shared" si="24"/>
        <v/>
      </c>
      <c r="P68" s="109" t="str">
        <f t="shared" si="24"/>
        <v/>
      </c>
      <c r="Q68" s="44" t="str">
        <f t="shared" si="24"/>
        <v/>
      </c>
      <c r="R68" s="49" t="str">
        <f t="shared" si="24"/>
        <v/>
      </c>
      <c r="S68" s="21"/>
    </row>
    <row r="69" spans="1:19">
      <c r="A69" s="20"/>
      <c r="B69" s="42">
        <v>55</v>
      </c>
      <c r="C69" s="43" t="str">
        <f t="shared" si="20"/>
        <v/>
      </c>
      <c r="D69" s="43" t="str">
        <f t="shared" si="14"/>
        <v/>
      </c>
      <c r="E69" s="43" t="str">
        <f t="shared" si="15"/>
        <v/>
      </c>
      <c r="F69" s="44" t="str">
        <f t="shared" si="21"/>
        <v/>
      </c>
      <c r="G69" s="44" t="str">
        <f t="shared" si="21"/>
        <v/>
      </c>
      <c r="H69" s="43" t="str">
        <f t="shared" si="25"/>
        <v/>
      </c>
      <c r="I69" s="47" t="str">
        <f t="shared" si="16"/>
        <v/>
      </c>
      <c r="J69" s="45" t="str">
        <f t="shared" si="17"/>
        <v/>
      </c>
      <c r="K69" s="47" t="str">
        <f t="shared" si="18"/>
        <v/>
      </c>
      <c r="L69" s="45" t="str">
        <f t="shared" si="19"/>
        <v/>
      </c>
      <c r="M69" s="45" t="str">
        <f t="shared" si="24"/>
        <v/>
      </c>
      <c r="N69" s="46" t="str">
        <f t="shared" si="24"/>
        <v/>
      </c>
      <c r="O69" s="46" t="str">
        <f t="shared" si="24"/>
        <v/>
      </c>
      <c r="P69" s="109" t="str">
        <f t="shared" si="24"/>
        <v/>
      </c>
      <c r="Q69" s="44" t="str">
        <f t="shared" si="24"/>
        <v/>
      </c>
      <c r="R69" s="49" t="str">
        <f t="shared" si="24"/>
        <v/>
      </c>
      <c r="S69" s="21"/>
    </row>
    <row r="70" spans="1:19">
      <c r="A70" s="20"/>
      <c r="B70" s="42">
        <v>56</v>
      </c>
      <c r="C70" s="43" t="str">
        <f t="shared" si="20"/>
        <v/>
      </c>
      <c r="D70" s="43" t="str">
        <f t="shared" si="14"/>
        <v/>
      </c>
      <c r="E70" s="43" t="str">
        <f t="shared" si="15"/>
        <v/>
      </c>
      <c r="F70" s="44" t="str">
        <f t="shared" si="21"/>
        <v/>
      </c>
      <c r="G70" s="44" t="str">
        <f t="shared" si="21"/>
        <v/>
      </c>
      <c r="H70" s="43" t="str">
        <f t="shared" si="25"/>
        <v/>
      </c>
      <c r="I70" s="47" t="str">
        <f t="shared" si="16"/>
        <v/>
      </c>
      <c r="J70" s="45" t="str">
        <f t="shared" si="17"/>
        <v/>
      </c>
      <c r="K70" s="47" t="str">
        <f t="shared" si="18"/>
        <v/>
      </c>
      <c r="L70" s="45" t="str">
        <f t="shared" si="19"/>
        <v/>
      </c>
      <c r="M70" s="45" t="str">
        <f t="shared" si="24"/>
        <v/>
      </c>
      <c r="N70" s="46" t="str">
        <f t="shared" si="24"/>
        <v/>
      </c>
      <c r="O70" s="46" t="str">
        <f t="shared" si="24"/>
        <v/>
      </c>
      <c r="P70" s="109" t="str">
        <f t="shared" si="24"/>
        <v/>
      </c>
      <c r="Q70" s="44" t="str">
        <f t="shared" si="24"/>
        <v/>
      </c>
      <c r="R70" s="49" t="str">
        <f t="shared" si="24"/>
        <v/>
      </c>
      <c r="S70" s="21"/>
    </row>
    <row r="71" spans="1:19">
      <c r="A71" s="20"/>
      <c r="B71" s="42">
        <v>57</v>
      </c>
      <c r="C71" s="43" t="str">
        <f t="shared" si="20"/>
        <v/>
      </c>
      <c r="D71" s="43" t="str">
        <f t="shared" si="14"/>
        <v/>
      </c>
      <c r="E71" s="43" t="str">
        <f t="shared" si="15"/>
        <v/>
      </c>
      <c r="F71" s="44" t="str">
        <f t="shared" si="21"/>
        <v/>
      </c>
      <c r="G71" s="44" t="str">
        <f t="shared" si="21"/>
        <v/>
      </c>
      <c r="H71" s="43" t="str">
        <f t="shared" si="25"/>
        <v/>
      </c>
      <c r="I71" s="47" t="str">
        <f t="shared" si="16"/>
        <v/>
      </c>
      <c r="J71" s="45" t="str">
        <f t="shared" si="17"/>
        <v/>
      </c>
      <c r="K71" s="47" t="str">
        <f t="shared" si="18"/>
        <v/>
      </c>
      <c r="L71" s="45" t="str">
        <f t="shared" si="19"/>
        <v/>
      </c>
      <c r="M71" s="45" t="str">
        <f t="shared" si="24"/>
        <v/>
      </c>
      <c r="N71" s="46" t="str">
        <f t="shared" si="24"/>
        <v/>
      </c>
      <c r="O71" s="46" t="str">
        <f t="shared" si="24"/>
        <v/>
      </c>
      <c r="P71" s="109" t="str">
        <f t="shared" si="24"/>
        <v/>
      </c>
      <c r="Q71" s="44" t="str">
        <f t="shared" si="24"/>
        <v/>
      </c>
      <c r="R71" s="49" t="str">
        <f t="shared" si="24"/>
        <v/>
      </c>
      <c r="S71" s="21"/>
    </row>
    <row r="72" spans="1:19">
      <c r="A72" s="20"/>
      <c r="B72" s="42">
        <v>58</v>
      </c>
      <c r="C72" s="43" t="str">
        <f t="shared" si="20"/>
        <v/>
      </c>
      <c r="D72" s="43" t="str">
        <f t="shared" si="14"/>
        <v/>
      </c>
      <c r="E72" s="43" t="str">
        <f t="shared" si="15"/>
        <v/>
      </c>
      <c r="F72" s="44" t="str">
        <f t="shared" si="21"/>
        <v/>
      </c>
      <c r="G72" s="44" t="str">
        <f t="shared" si="21"/>
        <v/>
      </c>
      <c r="H72" s="43" t="str">
        <f t="shared" si="25"/>
        <v/>
      </c>
      <c r="I72" s="47" t="str">
        <f t="shared" si="16"/>
        <v/>
      </c>
      <c r="J72" s="45" t="str">
        <f t="shared" si="17"/>
        <v/>
      </c>
      <c r="K72" s="47" t="str">
        <f t="shared" si="18"/>
        <v/>
      </c>
      <c r="L72" s="45" t="str">
        <f t="shared" si="19"/>
        <v/>
      </c>
      <c r="M72" s="45" t="str">
        <f t="shared" si="24"/>
        <v/>
      </c>
      <c r="N72" s="46" t="str">
        <f t="shared" si="24"/>
        <v/>
      </c>
      <c r="O72" s="46" t="str">
        <f t="shared" si="24"/>
        <v/>
      </c>
      <c r="P72" s="109" t="str">
        <f t="shared" si="24"/>
        <v/>
      </c>
      <c r="Q72" s="44" t="str">
        <f t="shared" si="24"/>
        <v/>
      </c>
      <c r="R72" s="49" t="str">
        <f t="shared" si="24"/>
        <v/>
      </c>
      <c r="S72" s="21"/>
    </row>
    <row r="73" spans="1:19">
      <c r="A73" s="20"/>
      <c r="B73" s="42">
        <v>59</v>
      </c>
      <c r="C73" s="43" t="str">
        <f t="shared" si="20"/>
        <v/>
      </c>
      <c r="D73" s="43" t="str">
        <f t="shared" si="14"/>
        <v/>
      </c>
      <c r="E73" s="43" t="str">
        <f t="shared" si="15"/>
        <v/>
      </c>
      <c r="F73" s="44" t="str">
        <f t="shared" si="21"/>
        <v/>
      </c>
      <c r="G73" s="44" t="str">
        <f t="shared" si="21"/>
        <v/>
      </c>
      <c r="H73" s="43" t="str">
        <f t="shared" si="25"/>
        <v/>
      </c>
      <c r="I73" s="47" t="str">
        <f t="shared" si="16"/>
        <v/>
      </c>
      <c r="J73" s="45" t="str">
        <f t="shared" si="17"/>
        <v/>
      </c>
      <c r="K73" s="47" t="str">
        <f t="shared" si="18"/>
        <v/>
      </c>
      <c r="L73" s="45" t="str">
        <f t="shared" si="19"/>
        <v/>
      </c>
      <c r="M73" s="45" t="str">
        <f t="shared" si="24"/>
        <v/>
      </c>
      <c r="N73" s="46" t="str">
        <f t="shared" si="24"/>
        <v/>
      </c>
      <c r="O73" s="46" t="str">
        <f t="shared" si="24"/>
        <v/>
      </c>
      <c r="P73" s="109" t="str">
        <f t="shared" si="24"/>
        <v/>
      </c>
      <c r="Q73" s="44" t="str">
        <f t="shared" si="24"/>
        <v/>
      </c>
      <c r="R73" s="49" t="str">
        <f t="shared" si="24"/>
        <v/>
      </c>
      <c r="S73" s="21"/>
    </row>
    <row r="74" spans="1:19">
      <c r="A74" s="20"/>
      <c r="B74" s="42">
        <v>60</v>
      </c>
      <c r="C74" s="43" t="str">
        <f t="shared" si="20"/>
        <v/>
      </c>
      <c r="D74" s="43" t="str">
        <f t="shared" si="14"/>
        <v/>
      </c>
      <c r="E74" s="43" t="str">
        <f t="shared" si="15"/>
        <v/>
      </c>
      <c r="F74" s="44" t="str">
        <f t="shared" si="21"/>
        <v/>
      </c>
      <c r="G74" s="44" t="str">
        <f t="shared" si="21"/>
        <v/>
      </c>
      <c r="H74" s="43" t="str">
        <f t="shared" si="25"/>
        <v/>
      </c>
      <c r="I74" s="47" t="str">
        <f t="shared" si="16"/>
        <v/>
      </c>
      <c r="J74" s="45" t="str">
        <f t="shared" si="17"/>
        <v/>
      </c>
      <c r="K74" s="47" t="str">
        <f t="shared" si="18"/>
        <v/>
      </c>
      <c r="L74" s="45" t="str">
        <f t="shared" si="19"/>
        <v/>
      </c>
      <c r="M74" s="45" t="str">
        <f t="shared" si="24"/>
        <v/>
      </c>
      <c r="N74" s="46" t="str">
        <f t="shared" si="24"/>
        <v/>
      </c>
      <c r="O74" s="46" t="str">
        <f t="shared" si="24"/>
        <v/>
      </c>
      <c r="P74" s="109" t="str">
        <f t="shared" si="24"/>
        <v/>
      </c>
      <c r="Q74" s="44" t="str">
        <f t="shared" si="24"/>
        <v/>
      </c>
      <c r="R74" s="49" t="str">
        <f t="shared" si="24"/>
        <v/>
      </c>
      <c r="S74" s="21"/>
    </row>
    <row r="75" spans="1:19">
      <c r="A75" s="20"/>
      <c r="B75" s="42">
        <v>61</v>
      </c>
      <c r="C75" s="43" t="str">
        <f t="shared" si="20"/>
        <v/>
      </c>
      <c r="D75" s="43" t="str">
        <f t="shared" si="14"/>
        <v/>
      </c>
      <c r="E75" s="43" t="str">
        <f t="shared" si="15"/>
        <v/>
      </c>
      <c r="F75" s="44" t="str">
        <f t="shared" ref="F75:G94" si="26">IF($C75="Renewables","100%",IF($C75="","",VLOOKUP($B75,Opps_Selection,F$12,FALSE)))</f>
        <v/>
      </c>
      <c r="G75" s="44" t="str">
        <f t="shared" si="26"/>
        <v/>
      </c>
      <c r="H75" s="43" t="str">
        <f t="shared" si="25"/>
        <v/>
      </c>
      <c r="I75" s="47" t="str">
        <f t="shared" si="16"/>
        <v/>
      </c>
      <c r="J75" s="45" t="str">
        <f t="shared" si="17"/>
        <v/>
      </c>
      <c r="K75" s="47" t="str">
        <f t="shared" si="18"/>
        <v/>
      </c>
      <c r="L75" s="45" t="str">
        <f t="shared" si="19"/>
        <v/>
      </c>
      <c r="M75" s="45" t="str">
        <f t="shared" ref="M75:R84" si="27">IF($C75="","",VLOOKUP($B75,Opps_Selection,M$12,FALSE))</f>
        <v/>
      </c>
      <c r="N75" s="46" t="str">
        <f t="shared" si="27"/>
        <v/>
      </c>
      <c r="O75" s="46" t="str">
        <f t="shared" si="27"/>
        <v/>
      </c>
      <c r="P75" s="109" t="str">
        <f t="shared" si="27"/>
        <v/>
      </c>
      <c r="Q75" s="44" t="str">
        <f t="shared" si="27"/>
        <v/>
      </c>
      <c r="R75" s="49" t="str">
        <f t="shared" si="27"/>
        <v/>
      </c>
      <c r="S75" s="21"/>
    </row>
    <row r="76" spans="1:19">
      <c r="A76" s="20"/>
      <c r="B76" s="42">
        <v>62</v>
      </c>
      <c r="C76" s="43" t="str">
        <f t="shared" si="20"/>
        <v/>
      </c>
      <c r="D76" s="43" t="str">
        <f t="shared" si="14"/>
        <v/>
      </c>
      <c r="E76" s="43" t="str">
        <f t="shared" si="15"/>
        <v/>
      </c>
      <c r="F76" s="44" t="str">
        <f t="shared" si="26"/>
        <v/>
      </c>
      <c r="G76" s="44" t="str">
        <f t="shared" si="26"/>
        <v/>
      </c>
      <c r="H76" s="43" t="str">
        <f t="shared" si="25"/>
        <v/>
      </c>
      <c r="I76" s="47" t="str">
        <f t="shared" si="16"/>
        <v/>
      </c>
      <c r="J76" s="45" t="str">
        <f t="shared" si="17"/>
        <v/>
      </c>
      <c r="K76" s="47" t="str">
        <f t="shared" si="18"/>
        <v/>
      </c>
      <c r="L76" s="45" t="str">
        <f t="shared" si="19"/>
        <v/>
      </c>
      <c r="M76" s="45" t="str">
        <f t="shared" si="27"/>
        <v/>
      </c>
      <c r="N76" s="46" t="str">
        <f t="shared" si="27"/>
        <v/>
      </c>
      <c r="O76" s="46" t="str">
        <f t="shared" si="27"/>
        <v/>
      </c>
      <c r="P76" s="109" t="str">
        <f t="shared" si="27"/>
        <v/>
      </c>
      <c r="Q76" s="44" t="str">
        <f t="shared" si="27"/>
        <v/>
      </c>
      <c r="R76" s="49" t="str">
        <f t="shared" si="27"/>
        <v/>
      </c>
      <c r="S76" s="21"/>
    </row>
    <row r="77" spans="1:19">
      <c r="A77" s="20"/>
      <c r="B77" s="42">
        <v>63</v>
      </c>
      <c r="C77" s="43" t="str">
        <f t="shared" si="20"/>
        <v/>
      </c>
      <c r="D77" s="43" t="str">
        <f t="shared" si="14"/>
        <v/>
      </c>
      <c r="E77" s="43" t="str">
        <f t="shared" si="15"/>
        <v/>
      </c>
      <c r="F77" s="44" t="str">
        <f t="shared" si="26"/>
        <v/>
      </c>
      <c r="G77" s="44" t="str">
        <f t="shared" si="26"/>
        <v/>
      </c>
      <c r="H77" s="43" t="str">
        <f t="shared" si="25"/>
        <v/>
      </c>
      <c r="I77" s="47" t="str">
        <f t="shared" si="16"/>
        <v/>
      </c>
      <c r="J77" s="45" t="str">
        <f t="shared" si="17"/>
        <v/>
      </c>
      <c r="K77" s="47" t="str">
        <f t="shared" si="18"/>
        <v/>
      </c>
      <c r="L77" s="45" t="str">
        <f t="shared" si="19"/>
        <v/>
      </c>
      <c r="M77" s="45" t="str">
        <f t="shared" si="27"/>
        <v/>
      </c>
      <c r="N77" s="46" t="str">
        <f t="shared" si="27"/>
        <v/>
      </c>
      <c r="O77" s="46" t="str">
        <f t="shared" si="27"/>
        <v/>
      </c>
      <c r="P77" s="109" t="str">
        <f t="shared" si="27"/>
        <v/>
      </c>
      <c r="Q77" s="44" t="str">
        <f t="shared" si="27"/>
        <v/>
      </c>
      <c r="R77" s="49" t="str">
        <f t="shared" si="27"/>
        <v/>
      </c>
      <c r="S77" s="21"/>
    </row>
    <row r="78" spans="1:19">
      <c r="A78" s="20"/>
      <c r="B78" s="42">
        <v>64</v>
      </c>
      <c r="C78" s="43" t="str">
        <f t="shared" si="20"/>
        <v/>
      </c>
      <c r="D78" s="43" t="str">
        <f t="shared" si="14"/>
        <v/>
      </c>
      <c r="E78" s="43" t="str">
        <f t="shared" si="15"/>
        <v/>
      </c>
      <c r="F78" s="44" t="str">
        <f t="shared" si="26"/>
        <v/>
      </c>
      <c r="G78" s="44" t="str">
        <f t="shared" si="26"/>
        <v/>
      </c>
      <c r="H78" s="43" t="str">
        <f t="shared" si="25"/>
        <v/>
      </c>
      <c r="I78" s="47" t="str">
        <f t="shared" si="16"/>
        <v/>
      </c>
      <c r="J78" s="45" t="str">
        <f t="shared" si="17"/>
        <v/>
      </c>
      <c r="K78" s="47" t="str">
        <f t="shared" si="18"/>
        <v/>
      </c>
      <c r="L78" s="45" t="str">
        <f t="shared" si="19"/>
        <v/>
      </c>
      <c r="M78" s="45" t="str">
        <f t="shared" si="27"/>
        <v/>
      </c>
      <c r="N78" s="46" t="str">
        <f t="shared" si="27"/>
        <v/>
      </c>
      <c r="O78" s="46" t="str">
        <f t="shared" si="27"/>
        <v/>
      </c>
      <c r="P78" s="109" t="str">
        <f t="shared" si="27"/>
        <v/>
      </c>
      <c r="Q78" s="44" t="str">
        <f t="shared" si="27"/>
        <v/>
      </c>
      <c r="R78" s="49" t="str">
        <f t="shared" si="27"/>
        <v/>
      </c>
      <c r="S78" s="21"/>
    </row>
    <row r="79" spans="1:19">
      <c r="A79" s="20"/>
      <c r="B79" s="42">
        <v>65</v>
      </c>
      <c r="C79" s="43" t="str">
        <f t="shared" si="20"/>
        <v/>
      </c>
      <c r="D79" s="43" t="str">
        <f t="shared" ref="D79:D110" si="28">IF(C79="Renewables","Energy generation",IF($C79="","",VLOOKUP($B79,Opps_Selection,D$12,FALSE)))</f>
        <v/>
      </c>
      <c r="E79" s="43" t="str">
        <f t="shared" ref="E79:E114" si="29">IF($C79="","",VLOOKUP($B79,Opps_Selection,E$12,FALSE))</f>
        <v/>
      </c>
      <c r="F79" s="44" t="str">
        <f t="shared" si="26"/>
        <v/>
      </c>
      <c r="G79" s="44" t="str">
        <f t="shared" si="26"/>
        <v/>
      </c>
      <c r="H79" s="43" t="str">
        <f t="shared" si="25"/>
        <v/>
      </c>
      <c r="I79" s="47" t="str">
        <f t="shared" ref="I79:I114" si="30">IF(C79="","",IF(VLOOKUP(B79,Opps_Selection,23,FALSE)="Buildings","Natural gas",IF(VLOOKUP(B79,Opps_Selection,23,FALSE)="Road","Petrol",IF(VLOOKUP(B79,Opps_Selection,23,FALSE)="Air","Aviation Fuel",0))))</f>
        <v/>
      </c>
      <c r="J79" s="45" t="str">
        <f t="shared" ref="J79:J110" si="31">IF($C79="","",IF(I79="Natural gas",VLOOKUP($B79,Opps_Selection,J$12,FALSE),IF(I79="Petrol",VLOOKUP($B79,Opps_Selection,12,FALSE),IF(I79="Aviation Fuel",VLOOKUP($B79,Opps_Selection,14,FALSE),0))))</f>
        <v/>
      </c>
      <c r="K79" s="47" t="str">
        <f t="shared" ref="K79:K114" si="32">IF(C79="","",IF(VLOOKUP(B79,Opps_Selection,23,FALSE)="Buildings","Electricity (grid)",IF(VLOOKUP(B79,Opps_Selection,23,FALSE)="Road","Diesel",0)))</f>
        <v/>
      </c>
      <c r="L79" s="45" t="str">
        <f t="shared" ref="L79:L110" si="33">IF($C79="","",IF(K79="Electricity (grid)",VLOOKUP($B79,Opps_Selection,L$12,FALSE),IF(K79="Diesel",VLOOKUP($B79,Opps_Selection,13,FALSE),0)))</f>
        <v/>
      </c>
      <c r="M79" s="45" t="str">
        <f t="shared" si="27"/>
        <v/>
      </c>
      <c r="N79" s="46" t="str">
        <f t="shared" si="27"/>
        <v/>
      </c>
      <c r="O79" s="46" t="str">
        <f t="shared" si="27"/>
        <v/>
      </c>
      <c r="P79" s="109" t="str">
        <f t="shared" si="27"/>
        <v/>
      </c>
      <c r="Q79" s="44" t="str">
        <f t="shared" si="27"/>
        <v/>
      </c>
      <c r="R79" s="49" t="str">
        <f t="shared" si="27"/>
        <v/>
      </c>
      <c r="S79" s="21"/>
    </row>
    <row r="80" spans="1:19">
      <c r="A80" s="20"/>
      <c r="B80" s="42">
        <v>66</v>
      </c>
      <c r="C80" s="43" t="str">
        <f t="shared" si="20"/>
        <v/>
      </c>
      <c r="D80" s="43" t="str">
        <f t="shared" si="28"/>
        <v/>
      </c>
      <c r="E80" s="43" t="str">
        <f t="shared" si="29"/>
        <v/>
      </c>
      <c r="F80" s="44" t="str">
        <f t="shared" si="26"/>
        <v/>
      </c>
      <c r="G80" s="44" t="str">
        <f t="shared" si="26"/>
        <v/>
      </c>
      <c r="H80" s="43" t="str">
        <f t="shared" si="25"/>
        <v/>
      </c>
      <c r="I80" s="47" t="str">
        <f t="shared" si="30"/>
        <v/>
      </c>
      <c r="J80" s="45" t="str">
        <f t="shared" si="31"/>
        <v/>
      </c>
      <c r="K80" s="47" t="str">
        <f t="shared" si="32"/>
        <v/>
      </c>
      <c r="L80" s="45" t="str">
        <f t="shared" si="33"/>
        <v/>
      </c>
      <c r="M80" s="45" t="str">
        <f t="shared" si="27"/>
        <v/>
      </c>
      <c r="N80" s="46" t="str">
        <f t="shared" si="27"/>
        <v/>
      </c>
      <c r="O80" s="46" t="str">
        <f t="shared" si="27"/>
        <v/>
      </c>
      <c r="P80" s="109" t="str">
        <f t="shared" si="27"/>
        <v/>
      </c>
      <c r="Q80" s="44" t="str">
        <f t="shared" si="27"/>
        <v/>
      </c>
      <c r="R80" s="49" t="str">
        <f t="shared" si="27"/>
        <v/>
      </c>
      <c r="S80" s="21"/>
    </row>
    <row r="81" spans="1:19">
      <c r="A81" s="20"/>
      <c r="B81" s="42">
        <v>67</v>
      </c>
      <c r="C81" s="43" t="str">
        <f t="shared" si="20"/>
        <v/>
      </c>
      <c r="D81" s="43" t="str">
        <f t="shared" si="28"/>
        <v/>
      </c>
      <c r="E81" s="43" t="str">
        <f t="shared" si="29"/>
        <v/>
      </c>
      <c r="F81" s="44" t="str">
        <f t="shared" si="26"/>
        <v/>
      </c>
      <c r="G81" s="44" t="str">
        <f t="shared" si="26"/>
        <v/>
      </c>
      <c r="H81" s="43" t="str">
        <f t="shared" si="25"/>
        <v/>
      </c>
      <c r="I81" s="47" t="str">
        <f t="shared" si="30"/>
        <v/>
      </c>
      <c r="J81" s="45" t="str">
        <f t="shared" si="31"/>
        <v/>
      </c>
      <c r="K81" s="47" t="str">
        <f t="shared" si="32"/>
        <v/>
      </c>
      <c r="L81" s="45" t="str">
        <f t="shared" si="33"/>
        <v/>
      </c>
      <c r="M81" s="45" t="str">
        <f t="shared" si="27"/>
        <v/>
      </c>
      <c r="N81" s="46" t="str">
        <f t="shared" si="27"/>
        <v/>
      </c>
      <c r="O81" s="46" t="str">
        <f t="shared" si="27"/>
        <v/>
      </c>
      <c r="P81" s="109" t="str">
        <f t="shared" si="27"/>
        <v/>
      </c>
      <c r="Q81" s="44" t="str">
        <f t="shared" si="27"/>
        <v/>
      </c>
      <c r="R81" s="49" t="str">
        <f t="shared" si="27"/>
        <v/>
      </c>
      <c r="S81" s="21"/>
    </row>
    <row r="82" spans="1:19">
      <c r="A82" s="20"/>
      <c r="B82" s="42">
        <v>68</v>
      </c>
      <c r="C82" s="43" t="str">
        <f t="shared" si="20"/>
        <v/>
      </c>
      <c r="D82" s="43" t="str">
        <f t="shared" si="28"/>
        <v/>
      </c>
      <c r="E82" s="43" t="str">
        <f t="shared" si="29"/>
        <v/>
      </c>
      <c r="F82" s="44" t="str">
        <f t="shared" si="26"/>
        <v/>
      </c>
      <c r="G82" s="44" t="str">
        <f t="shared" si="26"/>
        <v/>
      </c>
      <c r="H82" s="43" t="str">
        <f t="shared" si="25"/>
        <v/>
      </c>
      <c r="I82" s="47" t="str">
        <f t="shared" si="30"/>
        <v/>
      </c>
      <c r="J82" s="45" t="str">
        <f t="shared" si="31"/>
        <v/>
      </c>
      <c r="K82" s="47" t="str">
        <f t="shared" si="32"/>
        <v/>
      </c>
      <c r="L82" s="45" t="str">
        <f t="shared" si="33"/>
        <v/>
      </c>
      <c r="M82" s="45" t="str">
        <f t="shared" si="27"/>
        <v/>
      </c>
      <c r="N82" s="46" t="str">
        <f t="shared" si="27"/>
        <v/>
      </c>
      <c r="O82" s="46" t="str">
        <f t="shared" si="27"/>
        <v/>
      </c>
      <c r="P82" s="109" t="str">
        <f t="shared" si="27"/>
        <v/>
      </c>
      <c r="Q82" s="44" t="str">
        <f t="shared" si="27"/>
        <v/>
      </c>
      <c r="R82" s="49" t="str">
        <f t="shared" si="27"/>
        <v/>
      </c>
      <c r="S82" s="21"/>
    </row>
    <row r="83" spans="1:19">
      <c r="A83" s="20"/>
      <c r="B83" s="42">
        <v>69</v>
      </c>
      <c r="C83" s="43" t="str">
        <f t="shared" si="20"/>
        <v/>
      </c>
      <c r="D83" s="43" t="str">
        <f t="shared" si="28"/>
        <v/>
      </c>
      <c r="E83" s="43" t="str">
        <f t="shared" si="29"/>
        <v/>
      </c>
      <c r="F83" s="44" t="str">
        <f t="shared" si="26"/>
        <v/>
      </c>
      <c r="G83" s="44" t="str">
        <f t="shared" si="26"/>
        <v/>
      </c>
      <c r="H83" s="43" t="str">
        <f t="shared" si="25"/>
        <v/>
      </c>
      <c r="I83" s="47" t="str">
        <f t="shared" si="30"/>
        <v/>
      </c>
      <c r="J83" s="45" t="str">
        <f t="shared" si="31"/>
        <v/>
      </c>
      <c r="K83" s="47" t="str">
        <f t="shared" si="32"/>
        <v/>
      </c>
      <c r="L83" s="45" t="str">
        <f t="shared" si="33"/>
        <v/>
      </c>
      <c r="M83" s="45" t="str">
        <f t="shared" si="27"/>
        <v/>
      </c>
      <c r="N83" s="46" t="str">
        <f t="shared" si="27"/>
        <v/>
      </c>
      <c r="O83" s="46" t="str">
        <f t="shared" si="27"/>
        <v/>
      </c>
      <c r="P83" s="109" t="str">
        <f t="shared" si="27"/>
        <v/>
      </c>
      <c r="Q83" s="44" t="str">
        <f t="shared" si="27"/>
        <v/>
      </c>
      <c r="R83" s="49" t="str">
        <f t="shared" si="27"/>
        <v/>
      </c>
      <c r="S83" s="21"/>
    </row>
    <row r="84" spans="1:19">
      <c r="A84" s="20"/>
      <c r="B84" s="42">
        <v>70</v>
      </c>
      <c r="C84" s="43" t="str">
        <f t="shared" ref="C84:C114" si="34">IF(ISERROR(VLOOKUP($B84,Opps_Selection,C$12,FALSE)),"",VLOOKUP($B84,Opps_Selection,C$12,FALSE))</f>
        <v/>
      </c>
      <c r="D84" s="43" t="str">
        <f t="shared" si="28"/>
        <v/>
      </c>
      <c r="E84" s="43" t="str">
        <f t="shared" si="29"/>
        <v/>
      </c>
      <c r="F84" s="44" t="str">
        <f t="shared" si="26"/>
        <v/>
      </c>
      <c r="G84" s="44" t="str">
        <f t="shared" si="26"/>
        <v/>
      </c>
      <c r="H84" s="43" t="str">
        <f t="shared" si="25"/>
        <v/>
      </c>
      <c r="I84" s="47" t="str">
        <f t="shared" si="30"/>
        <v/>
      </c>
      <c r="J84" s="45" t="str">
        <f t="shared" si="31"/>
        <v/>
      </c>
      <c r="K84" s="47" t="str">
        <f t="shared" si="32"/>
        <v/>
      </c>
      <c r="L84" s="45" t="str">
        <f t="shared" si="33"/>
        <v/>
      </c>
      <c r="M84" s="45" t="str">
        <f t="shared" si="27"/>
        <v/>
      </c>
      <c r="N84" s="46" t="str">
        <f t="shared" si="27"/>
        <v/>
      </c>
      <c r="O84" s="46" t="str">
        <f t="shared" si="27"/>
        <v/>
      </c>
      <c r="P84" s="109" t="str">
        <f t="shared" si="27"/>
        <v/>
      </c>
      <c r="Q84" s="44" t="str">
        <f t="shared" si="27"/>
        <v/>
      </c>
      <c r="R84" s="49" t="str">
        <f t="shared" si="27"/>
        <v/>
      </c>
      <c r="S84" s="21"/>
    </row>
    <row r="85" spans="1:19">
      <c r="A85" s="20"/>
      <c r="B85" s="42">
        <v>71</v>
      </c>
      <c r="C85" s="43" t="str">
        <f t="shared" si="34"/>
        <v/>
      </c>
      <c r="D85" s="43" t="str">
        <f t="shared" si="28"/>
        <v/>
      </c>
      <c r="E85" s="43" t="str">
        <f t="shared" si="29"/>
        <v/>
      </c>
      <c r="F85" s="44" t="str">
        <f t="shared" si="26"/>
        <v/>
      </c>
      <c r="G85" s="44" t="str">
        <f t="shared" si="26"/>
        <v/>
      </c>
      <c r="H85" s="43" t="str">
        <f t="shared" si="25"/>
        <v/>
      </c>
      <c r="I85" s="47" t="str">
        <f t="shared" si="30"/>
        <v/>
      </c>
      <c r="J85" s="45" t="str">
        <f t="shared" si="31"/>
        <v/>
      </c>
      <c r="K85" s="47" t="str">
        <f t="shared" si="32"/>
        <v/>
      </c>
      <c r="L85" s="45" t="str">
        <f t="shared" si="33"/>
        <v/>
      </c>
      <c r="M85" s="45" t="str">
        <f t="shared" ref="M85:R94" si="35">IF($C85="","",VLOOKUP($B85,Opps_Selection,M$12,FALSE))</f>
        <v/>
      </c>
      <c r="N85" s="46" t="str">
        <f t="shared" si="35"/>
        <v/>
      </c>
      <c r="O85" s="46" t="str">
        <f t="shared" si="35"/>
        <v/>
      </c>
      <c r="P85" s="109" t="str">
        <f t="shared" si="35"/>
        <v/>
      </c>
      <c r="Q85" s="44" t="str">
        <f t="shared" si="35"/>
        <v/>
      </c>
      <c r="R85" s="49" t="str">
        <f t="shared" si="35"/>
        <v/>
      </c>
      <c r="S85" s="21"/>
    </row>
    <row r="86" spans="1:19">
      <c r="A86" s="20"/>
      <c r="B86" s="42">
        <v>72</v>
      </c>
      <c r="C86" s="43" t="str">
        <f t="shared" si="34"/>
        <v/>
      </c>
      <c r="D86" s="43" t="str">
        <f t="shared" si="28"/>
        <v/>
      </c>
      <c r="E86" s="43" t="str">
        <f t="shared" si="29"/>
        <v/>
      </c>
      <c r="F86" s="44" t="str">
        <f t="shared" si="26"/>
        <v/>
      </c>
      <c r="G86" s="44" t="str">
        <f t="shared" si="26"/>
        <v/>
      </c>
      <c r="H86" s="43" t="str">
        <f t="shared" si="25"/>
        <v/>
      </c>
      <c r="I86" s="47" t="str">
        <f t="shared" si="30"/>
        <v/>
      </c>
      <c r="J86" s="45" t="str">
        <f t="shared" si="31"/>
        <v/>
      </c>
      <c r="K86" s="47" t="str">
        <f t="shared" si="32"/>
        <v/>
      </c>
      <c r="L86" s="45" t="str">
        <f t="shared" si="33"/>
        <v/>
      </c>
      <c r="M86" s="45" t="str">
        <f t="shared" si="35"/>
        <v/>
      </c>
      <c r="N86" s="46" t="str">
        <f t="shared" si="35"/>
        <v/>
      </c>
      <c r="O86" s="46" t="str">
        <f t="shared" si="35"/>
        <v/>
      </c>
      <c r="P86" s="109" t="str">
        <f t="shared" si="35"/>
        <v/>
      </c>
      <c r="Q86" s="44" t="str">
        <f t="shared" si="35"/>
        <v/>
      </c>
      <c r="R86" s="49" t="str">
        <f t="shared" si="35"/>
        <v/>
      </c>
      <c r="S86" s="21"/>
    </row>
    <row r="87" spans="1:19">
      <c r="A87" s="20"/>
      <c r="B87" s="42">
        <v>73</v>
      </c>
      <c r="C87" s="43" t="str">
        <f t="shared" si="34"/>
        <v/>
      </c>
      <c r="D87" s="43" t="str">
        <f t="shared" si="28"/>
        <v/>
      </c>
      <c r="E87" s="43" t="str">
        <f t="shared" si="29"/>
        <v/>
      </c>
      <c r="F87" s="44" t="str">
        <f t="shared" si="26"/>
        <v/>
      </c>
      <c r="G87" s="44" t="str">
        <f t="shared" si="26"/>
        <v/>
      </c>
      <c r="H87" s="43" t="str">
        <f t="shared" si="25"/>
        <v/>
      </c>
      <c r="I87" s="47" t="str">
        <f t="shared" si="30"/>
        <v/>
      </c>
      <c r="J87" s="45" t="str">
        <f t="shared" si="31"/>
        <v/>
      </c>
      <c r="K87" s="47" t="str">
        <f t="shared" si="32"/>
        <v/>
      </c>
      <c r="L87" s="45" t="str">
        <f t="shared" si="33"/>
        <v/>
      </c>
      <c r="M87" s="45" t="str">
        <f t="shared" si="35"/>
        <v/>
      </c>
      <c r="N87" s="46" t="str">
        <f t="shared" si="35"/>
        <v/>
      </c>
      <c r="O87" s="46" t="str">
        <f t="shared" si="35"/>
        <v/>
      </c>
      <c r="P87" s="109" t="str">
        <f t="shared" si="35"/>
        <v/>
      </c>
      <c r="Q87" s="44" t="str">
        <f t="shared" si="35"/>
        <v/>
      </c>
      <c r="R87" s="49" t="str">
        <f t="shared" si="35"/>
        <v/>
      </c>
      <c r="S87" s="21"/>
    </row>
    <row r="88" spans="1:19">
      <c r="A88" s="20"/>
      <c r="B88" s="42">
        <v>74</v>
      </c>
      <c r="C88" s="43" t="str">
        <f t="shared" si="34"/>
        <v/>
      </c>
      <c r="D88" s="43" t="str">
        <f t="shared" si="28"/>
        <v/>
      </c>
      <c r="E88" s="43" t="str">
        <f t="shared" si="29"/>
        <v/>
      </c>
      <c r="F88" s="44" t="str">
        <f t="shared" si="26"/>
        <v/>
      </c>
      <c r="G88" s="44" t="str">
        <f t="shared" si="26"/>
        <v/>
      </c>
      <c r="H88" s="43" t="str">
        <f t="shared" si="25"/>
        <v/>
      </c>
      <c r="I88" s="47" t="str">
        <f t="shared" si="30"/>
        <v/>
      </c>
      <c r="J88" s="45" t="str">
        <f t="shared" si="31"/>
        <v/>
      </c>
      <c r="K88" s="47" t="str">
        <f t="shared" si="32"/>
        <v/>
      </c>
      <c r="L88" s="45" t="str">
        <f t="shared" si="33"/>
        <v/>
      </c>
      <c r="M88" s="45" t="str">
        <f t="shared" si="35"/>
        <v/>
      </c>
      <c r="N88" s="46" t="str">
        <f t="shared" si="35"/>
        <v/>
      </c>
      <c r="O88" s="46" t="str">
        <f t="shared" si="35"/>
        <v/>
      </c>
      <c r="P88" s="109" t="str">
        <f t="shared" si="35"/>
        <v/>
      </c>
      <c r="Q88" s="44" t="str">
        <f t="shared" si="35"/>
        <v/>
      </c>
      <c r="R88" s="49" t="str">
        <f t="shared" si="35"/>
        <v/>
      </c>
      <c r="S88" s="21"/>
    </row>
    <row r="89" spans="1:19">
      <c r="A89" s="20"/>
      <c r="B89" s="42">
        <v>75</v>
      </c>
      <c r="C89" s="43" t="str">
        <f t="shared" si="34"/>
        <v/>
      </c>
      <c r="D89" s="43" t="str">
        <f t="shared" si="28"/>
        <v/>
      </c>
      <c r="E89" s="43" t="str">
        <f t="shared" si="29"/>
        <v/>
      </c>
      <c r="F89" s="44" t="str">
        <f t="shared" si="26"/>
        <v/>
      </c>
      <c r="G89" s="44" t="str">
        <f t="shared" si="26"/>
        <v/>
      </c>
      <c r="H89" s="43" t="str">
        <f t="shared" si="25"/>
        <v/>
      </c>
      <c r="I89" s="47" t="str">
        <f t="shared" si="30"/>
        <v/>
      </c>
      <c r="J89" s="45" t="str">
        <f t="shared" si="31"/>
        <v/>
      </c>
      <c r="K89" s="47" t="str">
        <f t="shared" si="32"/>
        <v/>
      </c>
      <c r="L89" s="45" t="str">
        <f t="shared" si="33"/>
        <v/>
      </c>
      <c r="M89" s="45" t="str">
        <f t="shared" si="35"/>
        <v/>
      </c>
      <c r="N89" s="46" t="str">
        <f t="shared" si="35"/>
        <v/>
      </c>
      <c r="O89" s="46" t="str">
        <f t="shared" si="35"/>
        <v/>
      </c>
      <c r="P89" s="109" t="str">
        <f t="shared" si="35"/>
        <v/>
      </c>
      <c r="Q89" s="44" t="str">
        <f t="shared" si="35"/>
        <v/>
      </c>
      <c r="R89" s="49" t="str">
        <f t="shared" si="35"/>
        <v/>
      </c>
      <c r="S89" s="21"/>
    </row>
    <row r="90" spans="1:19">
      <c r="A90" s="20"/>
      <c r="B90" s="42">
        <v>76</v>
      </c>
      <c r="C90" s="43" t="str">
        <f t="shared" si="34"/>
        <v/>
      </c>
      <c r="D90" s="43" t="str">
        <f t="shared" si="28"/>
        <v/>
      </c>
      <c r="E90" s="43" t="str">
        <f t="shared" si="29"/>
        <v/>
      </c>
      <c r="F90" s="44" t="str">
        <f t="shared" si="26"/>
        <v/>
      </c>
      <c r="G90" s="44" t="str">
        <f t="shared" si="26"/>
        <v/>
      </c>
      <c r="H90" s="43" t="str">
        <f t="shared" si="25"/>
        <v/>
      </c>
      <c r="I90" s="47" t="str">
        <f t="shared" si="30"/>
        <v/>
      </c>
      <c r="J90" s="45" t="str">
        <f t="shared" si="31"/>
        <v/>
      </c>
      <c r="K90" s="47" t="str">
        <f t="shared" si="32"/>
        <v/>
      </c>
      <c r="L90" s="45" t="str">
        <f t="shared" si="33"/>
        <v/>
      </c>
      <c r="M90" s="45" t="str">
        <f t="shared" si="35"/>
        <v/>
      </c>
      <c r="N90" s="46" t="str">
        <f t="shared" si="35"/>
        <v/>
      </c>
      <c r="O90" s="46" t="str">
        <f t="shared" si="35"/>
        <v/>
      </c>
      <c r="P90" s="109" t="str">
        <f t="shared" si="35"/>
        <v/>
      </c>
      <c r="Q90" s="44" t="str">
        <f t="shared" si="35"/>
        <v/>
      </c>
      <c r="R90" s="49" t="str">
        <f t="shared" si="35"/>
        <v/>
      </c>
      <c r="S90" s="21"/>
    </row>
    <row r="91" spans="1:19">
      <c r="A91" s="20"/>
      <c r="B91" s="42">
        <v>77</v>
      </c>
      <c r="C91" s="43" t="str">
        <f t="shared" si="34"/>
        <v/>
      </c>
      <c r="D91" s="43" t="str">
        <f t="shared" si="28"/>
        <v/>
      </c>
      <c r="E91" s="43" t="str">
        <f t="shared" si="29"/>
        <v/>
      </c>
      <c r="F91" s="44" t="str">
        <f t="shared" si="26"/>
        <v/>
      </c>
      <c r="G91" s="44" t="str">
        <f t="shared" si="26"/>
        <v/>
      </c>
      <c r="H91" s="43" t="str">
        <f t="shared" si="25"/>
        <v/>
      </c>
      <c r="I91" s="47" t="str">
        <f t="shared" si="30"/>
        <v/>
      </c>
      <c r="J91" s="45" t="str">
        <f t="shared" si="31"/>
        <v/>
      </c>
      <c r="K91" s="47" t="str">
        <f t="shared" si="32"/>
        <v/>
      </c>
      <c r="L91" s="45" t="str">
        <f t="shared" si="33"/>
        <v/>
      </c>
      <c r="M91" s="45" t="str">
        <f t="shared" si="35"/>
        <v/>
      </c>
      <c r="N91" s="46" t="str">
        <f t="shared" si="35"/>
        <v/>
      </c>
      <c r="O91" s="46" t="str">
        <f t="shared" si="35"/>
        <v/>
      </c>
      <c r="P91" s="109" t="str">
        <f t="shared" si="35"/>
        <v/>
      </c>
      <c r="Q91" s="44" t="str">
        <f t="shared" si="35"/>
        <v/>
      </c>
      <c r="R91" s="49" t="str">
        <f t="shared" si="35"/>
        <v/>
      </c>
      <c r="S91" s="21"/>
    </row>
    <row r="92" spans="1:19">
      <c r="A92" s="20"/>
      <c r="B92" s="42">
        <v>78</v>
      </c>
      <c r="C92" s="43" t="str">
        <f t="shared" si="34"/>
        <v/>
      </c>
      <c r="D92" s="43" t="str">
        <f t="shared" si="28"/>
        <v/>
      </c>
      <c r="E92" s="43" t="str">
        <f t="shared" si="29"/>
        <v/>
      </c>
      <c r="F92" s="44" t="str">
        <f t="shared" si="26"/>
        <v/>
      </c>
      <c r="G92" s="44" t="str">
        <f t="shared" si="26"/>
        <v/>
      </c>
      <c r="H92" s="43" t="str">
        <f t="shared" si="25"/>
        <v/>
      </c>
      <c r="I92" s="47" t="str">
        <f t="shared" si="30"/>
        <v/>
      </c>
      <c r="J92" s="45" t="str">
        <f t="shared" si="31"/>
        <v/>
      </c>
      <c r="K92" s="47" t="str">
        <f t="shared" si="32"/>
        <v/>
      </c>
      <c r="L92" s="45" t="str">
        <f t="shared" si="33"/>
        <v/>
      </c>
      <c r="M92" s="45" t="str">
        <f t="shared" si="35"/>
        <v/>
      </c>
      <c r="N92" s="46" t="str">
        <f t="shared" si="35"/>
        <v/>
      </c>
      <c r="O92" s="46" t="str">
        <f t="shared" si="35"/>
        <v/>
      </c>
      <c r="P92" s="109" t="str">
        <f t="shared" si="35"/>
        <v/>
      </c>
      <c r="Q92" s="44" t="str">
        <f t="shared" si="35"/>
        <v/>
      </c>
      <c r="R92" s="49" t="str">
        <f t="shared" si="35"/>
        <v/>
      </c>
      <c r="S92" s="21"/>
    </row>
    <row r="93" spans="1:19">
      <c r="A93" s="20"/>
      <c r="B93" s="42">
        <v>79</v>
      </c>
      <c r="C93" s="43" t="str">
        <f t="shared" si="34"/>
        <v/>
      </c>
      <c r="D93" s="43" t="str">
        <f t="shared" si="28"/>
        <v/>
      </c>
      <c r="E93" s="43" t="str">
        <f t="shared" si="29"/>
        <v/>
      </c>
      <c r="F93" s="44" t="str">
        <f t="shared" si="26"/>
        <v/>
      </c>
      <c r="G93" s="44" t="str">
        <f t="shared" si="26"/>
        <v/>
      </c>
      <c r="H93" s="43" t="str">
        <f t="shared" si="25"/>
        <v/>
      </c>
      <c r="I93" s="47" t="str">
        <f t="shared" si="30"/>
        <v/>
      </c>
      <c r="J93" s="45" t="str">
        <f t="shared" si="31"/>
        <v/>
      </c>
      <c r="K93" s="47" t="str">
        <f t="shared" si="32"/>
        <v/>
      </c>
      <c r="L93" s="45" t="str">
        <f t="shared" si="33"/>
        <v/>
      </c>
      <c r="M93" s="45" t="str">
        <f t="shared" si="35"/>
        <v/>
      </c>
      <c r="N93" s="46" t="str">
        <f t="shared" si="35"/>
        <v/>
      </c>
      <c r="O93" s="46" t="str">
        <f t="shared" si="35"/>
        <v/>
      </c>
      <c r="P93" s="109" t="str">
        <f t="shared" si="35"/>
        <v/>
      </c>
      <c r="Q93" s="44" t="str">
        <f t="shared" si="35"/>
        <v/>
      </c>
      <c r="R93" s="49" t="str">
        <f t="shared" si="35"/>
        <v/>
      </c>
      <c r="S93" s="21"/>
    </row>
    <row r="94" spans="1:19">
      <c r="A94" s="20"/>
      <c r="B94" s="42">
        <v>80</v>
      </c>
      <c r="C94" s="43" t="str">
        <f t="shared" si="34"/>
        <v/>
      </c>
      <c r="D94" s="43" t="str">
        <f t="shared" si="28"/>
        <v/>
      </c>
      <c r="E94" s="43" t="str">
        <f t="shared" si="29"/>
        <v/>
      </c>
      <c r="F94" s="44" t="str">
        <f t="shared" si="26"/>
        <v/>
      </c>
      <c r="G94" s="44" t="str">
        <f t="shared" si="26"/>
        <v/>
      </c>
      <c r="H94" s="43" t="str">
        <f t="shared" si="25"/>
        <v/>
      </c>
      <c r="I94" s="47" t="str">
        <f t="shared" si="30"/>
        <v/>
      </c>
      <c r="J94" s="45" t="str">
        <f t="shared" si="31"/>
        <v/>
      </c>
      <c r="K94" s="47" t="str">
        <f t="shared" si="32"/>
        <v/>
      </c>
      <c r="L94" s="45" t="str">
        <f t="shared" si="33"/>
        <v/>
      </c>
      <c r="M94" s="45" t="str">
        <f t="shared" si="35"/>
        <v/>
      </c>
      <c r="N94" s="46" t="str">
        <f t="shared" si="35"/>
        <v/>
      </c>
      <c r="O94" s="46" t="str">
        <f t="shared" si="35"/>
        <v/>
      </c>
      <c r="P94" s="109" t="str">
        <f t="shared" si="35"/>
        <v/>
      </c>
      <c r="Q94" s="44" t="str">
        <f t="shared" si="35"/>
        <v/>
      </c>
      <c r="R94" s="49" t="str">
        <f t="shared" si="35"/>
        <v/>
      </c>
      <c r="S94" s="21"/>
    </row>
    <row r="95" spans="1:19">
      <c r="A95" s="20"/>
      <c r="B95" s="42">
        <v>81</v>
      </c>
      <c r="C95" s="43" t="str">
        <f t="shared" si="34"/>
        <v/>
      </c>
      <c r="D95" s="43" t="str">
        <f t="shared" si="28"/>
        <v/>
      </c>
      <c r="E95" s="43" t="str">
        <f t="shared" si="29"/>
        <v/>
      </c>
      <c r="F95" s="44" t="str">
        <f t="shared" ref="F95:G114" si="36">IF($C95="Renewables","100%",IF($C95="","",VLOOKUP($B95,Opps_Selection,F$12,FALSE)))</f>
        <v/>
      </c>
      <c r="G95" s="44" t="str">
        <f t="shared" si="36"/>
        <v/>
      </c>
      <c r="H95" s="43" t="str">
        <f t="shared" si="25"/>
        <v/>
      </c>
      <c r="I95" s="47" t="str">
        <f t="shared" si="30"/>
        <v/>
      </c>
      <c r="J95" s="45" t="str">
        <f t="shared" si="31"/>
        <v/>
      </c>
      <c r="K95" s="47" t="str">
        <f t="shared" si="32"/>
        <v/>
      </c>
      <c r="L95" s="45" t="str">
        <f t="shared" si="33"/>
        <v/>
      </c>
      <c r="M95" s="45" t="str">
        <f t="shared" ref="M95:R104" si="37">IF($C95="","",VLOOKUP($B95,Opps_Selection,M$12,FALSE))</f>
        <v/>
      </c>
      <c r="N95" s="46" t="str">
        <f t="shared" si="37"/>
        <v/>
      </c>
      <c r="O95" s="46" t="str">
        <f t="shared" si="37"/>
        <v/>
      </c>
      <c r="P95" s="109" t="str">
        <f t="shared" si="37"/>
        <v/>
      </c>
      <c r="Q95" s="44" t="str">
        <f t="shared" si="37"/>
        <v/>
      </c>
      <c r="R95" s="49" t="str">
        <f t="shared" si="37"/>
        <v/>
      </c>
      <c r="S95" s="21"/>
    </row>
    <row r="96" spans="1:19">
      <c r="A96" s="20"/>
      <c r="B96" s="42">
        <v>82</v>
      </c>
      <c r="C96" s="43" t="str">
        <f t="shared" si="34"/>
        <v/>
      </c>
      <c r="D96" s="43" t="str">
        <f t="shared" si="28"/>
        <v/>
      </c>
      <c r="E96" s="43" t="str">
        <f t="shared" si="29"/>
        <v/>
      </c>
      <c r="F96" s="44" t="str">
        <f t="shared" si="36"/>
        <v/>
      </c>
      <c r="G96" s="44" t="str">
        <f t="shared" si="36"/>
        <v/>
      </c>
      <c r="H96" s="43" t="str">
        <f t="shared" si="25"/>
        <v/>
      </c>
      <c r="I96" s="47" t="str">
        <f t="shared" si="30"/>
        <v/>
      </c>
      <c r="J96" s="45" t="str">
        <f t="shared" si="31"/>
        <v/>
      </c>
      <c r="K96" s="47" t="str">
        <f t="shared" si="32"/>
        <v/>
      </c>
      <c r="L96" s="45" t="str">
        <f t="shared" si="33"/>
        <v/>
      </c>
      <c r="M96" s="45" t="str">
        <f t="shared" si="37"/>
        <v/>
      </c>
      <c r="N96" s="46" t="str">
        <f t="shared" si="37"/>
        <v/>
      </c>
      <c r="O96" s="46" t="str">
        <f t="shared" si="37"/>
        <v/>
      </c>
      <c r="P96" s="109" t="str">
        <f t="shared" si="37"/>
        <v/>
      </c>
      <c r="Q96" s="44" t="str">
        <f t="shared" si="37"/>
        <v/>
      </c>
      <c r="R96" s="49" t="str">
        <f t="shared" si="37"/>
        <v/>
      </c>
      <c r="S96" s="21"/>
    </row>
    <row r="97" spans="1:19">
      <c r="A97" s="20"/>
      <c r="B97" s="42">
        <v>83</v>
      </c>
      <c r="C97" s="43" t="str">
        <f t="shared" si="34"/>
        <v/>
      </c>
      <c r="D97" s="43" t="str">
        <f t="shared" si="28"/>
        <v/>
      </c>
      <c r="E97" s="43" t="str">
        <f t="shared" si="29"/>
        <v/>
      </c>
      <c r="F97" s="44" t="str">
        <f t="shared" si="36"/>
        <v/>
      </c>
      <c r="G97" s="44" t="str">
        <f t="shared" si="36"/>
        <v/>
      </c>
      <c r="H97" s="43" t="str">
        <f t="shared" si="25"/>
        <v/>
      </c>
      <c r="I97" s="47" t="str">
        <f t="shared" si="30"/>
        <v/>
      </c>
      <c r="J97" s="45" t="str">
        <f t="shared" si="31"/>
        <v/>
      </c>
      <c r="K97" s="47" t="str">
        <f t="shared" si="32"/>
        <v/>
      </c>
      <c r="L97" s="45" t="str">
        <f t="shared" si="33"/>
        <v/>
      </c>
      <c r="M97" s="45" t="str">
        <f t="shared" si="37"/>
        <v/>
      </c>
      <c r="N97" s="46" t="str">
        <f t="shared" si="37"/>
        <v/>
      </c>
      <c r="O97" s="46" t="str">
        <f t="shared" si="37"/>
        <v/>
      </c>
      <c r="P97" s="109" t="str">
        <f t="shared" si="37"/>
        <v/>
      </c>
      <c r="Q97" s="44" t="str">
        <f t="shared" si="37"/>
        <v/>
      </c>
      <c r="R97" s="49" t="str">
        <f t="shared" si="37"/>
        <v/>
      </c>
      <c r="S97" s="21"/>
    </row>
    <row r="98" spans="1:19">
      <c r="A98" s="20"/>
      <c r="B98" s="42">
        <v>84</v>
      </c>
      <c r="C98" s="43" t="str">
        <f t="shared" si="34"/>
        <v/>
      </c>
      <c r="D98" s="43" t="str">
        <f t="shared" si="28"/>
        <v/>
      </c>
      <c r="E98" s="43" t="str">
        <f t="shared" si="29"/>
        <v/>
      </c>
      <c r="F98" s="44" t="str">
        <f t="shared" si="36"/>
        <v/>
      </c>
      <c r="G98" s="44" t="str">
        <f t="shared" si="36"/>
        <v/>
      </c>
      <c r="H98" s="43" t="str">
        <f t="shared" si="25"/>
        <v/>
      </c>
      <c r="I98" s="47" t="str">
        <f t="shared" si="30"/>
        <v/>
      </c>
      <c r="J98" s="45" t="str">
        <f t="shared" si="31"/>
        <v/>
      </c>
      <c r="K98" s="47" t="str">
        <f t="shared" si="32"/>
        <v/>
      </c>
      <c r="L98" s="45" t="str">
        <f t="shared" si="33"/>
        <v/>
      </c>
      <c r="M98" s="45" t="str">
        <f t="shared" si="37"/>
        <v/>
      </c>
      <c r="N98" s="46" t="str">
        <f t="shared" si="37"/>
        <v/>
      </c>
      <c r="O98" s="46" t="str">
        <f t="shared" si="37"/>
        <v/>
      </c>
      <c r="P98" s="109" t="str">
        <f t="shared" si="37"/>
        <v/>
      </c>
      <c r="Q98" s="44" t="str">
        <f t="shared" si="37"/>
        <v/>
      </c>
      <c r="R98" s="49" t="str">
        <f t="shared" si="37"/>
        <v/>
      </c>
      <c r="S98" s="21"/>
    </row>
    <row r="99" spans="1:19">
      <c r="A99" s="20"/>
      <c r="B99" s="42">
        <v>85</v>
      </c>
      <c r="C99" s="43" t="str">
        <f t="shared" si="34"/>
        <v/>
      </c>
      <c r="D99" s="43" t="str">
        <f t="shared" si="28"/>
        <v/>
      </c>
      <c r="E99" s="43" t="str">
        <f t="shared" si="29"/>
        <v/>
      </c>
      <c r="F99" s="44" t="str">
        <f t="shared" si="36"/>
        <v/>
      </c>
      <c r="G99" s="44" t="str">
        <f t="shared" si="36"/>
        <v/>
      </c>
      <c r="H99" s="43" t="str">
        <f t="shared" si="25"/>
        <v/>
      </c>
      <c r="I99" s="47" t="str">
        <f t="shared" si="30"/>
        <v/>
      </c>
      <c r="J99" s="45" t="str">
        <f t="shared" si="31"/>
        <v/>
      </c>
      <c r="K99" s="47" t="str">
        <f t="shared" si="32"/>
        <v/>
      </c>
      <c r="L99" s="45" t="str">
        <f t="shared" si="33"/>
        <v/>
      </c>
      <c r="M99" s="45" t="str">
        <f t="shared" si="37"/>
        <v/>
      </c>
      <c r="N99" s="46" t="str">
        <f t="shared" si="37"/>
        <v/>
      </c>
      <c r="O99" s="46" t="str">
        <f t="shared" si="37"/>
        <v/>
      </c>
      <c r="P99" s="109" t="str">
        <f t="shared" si="37"/>
        <v/>
      </c>
      <c r="Q99" s="44" t="str">
        <f t="shared" si="37"/>
        <v/>
      </c>
      <c r="R99" s="49" t="str">
        <f t="shared" si="37"/>
        <v/>
      </c>
      <c r="S99" s="21"/>
    </row>
    <row r="100" spans="1:19">
      <c r="A100" s="20"/>
      <c r="B100" s="42">
        <v>86</v>
      </c>
      <c r="C100" s="43" t="str">
        <f t="shared" si="34"/>
        <v/>
      </c>
      <c r="D100" s="43" t="str">
        <f t="shared" si="28"/>
        <v/>
      </c>
      <c r="E100" s="43" t="str">
        <f t="shared" si="29"/>
        <v/>
      </c>
      <c r="F100" s="44" t="str">
        <f t="shared" si="36"/>
        <v/>
      </c>
      <c r="G100" s="44" t="str">
        <f t="shared" si="36"/>
        <v/>
      </c>
      <c r="H100" s="43" t="str">
        <f t="shared" si="25"/>
        <v/>
      </c>
      <c r="I100" s="47" t="str">
        <f t="shared" si="30"/>
        <v/>
      </c>
      <c r="J100" s="45" t="str">
        <f t="shared" si="31"/>
        <v/>
      </c>
      <c r="K100" s="47" t="str">
        <f t="shared" si="32"/>
        <v/>
      </c>
      <c r="L100" s="45" t="str">
        <f t="shared" si="33"/>
        <v/>
      </c>
      <c r="M100" s="45" t="str">
        <f t="shared" si="37"/>
        <v/>
      </c>
      <c r="N100" s="46" t="str">
        <f t="shared" si="37"/>
        <v/>
      </c>
      <c r="O100" s="46" t="str">
        <f t="shared" si="37"/>
        <v/>
      </c>
      <c r="P100" s="109" t="str">
        <f t="shared" si="37"/>
        <v/>
      </c>
      <c r="Q100" s="44" t="str">
        <f t="shared" si="37"/>
        <v/>
      </c>
      <c r="R100" s="49" t="str">
        <f t="shared" si="37"/>
        <v/>
      </c>
      <c r="S100" s="21"/>
    </row>
    <row r="101" spans="1:19">
      <c r="A101" s="20"/>
      <c r="B101" s="42">
        <v>87</v>
      </c>
      <c r="C101" s="43" t="str">
        <f t="shared" si="34"/>
        <v/>
      </c>
      <c r="D101" s="43" t="str">
        <f t="shared" si="28"/>
        <v/>
      </c>
      <c r="E101" s="43" t="str">
        <f t="shared" si="29"/>
        <v/>
      </c>
      <c r="F101" s="44" t="str">
        <f t="shared" si="36"/>
        <v/>
      </c>
      <c r="G101" s="44" t="str">
        <f t="shared" si="36"/>
        <v/>
      </c>
      <c r="H101" s="43" t="str">
        <f t="shared" si="25"/>
        <v/>
      </c>
      <c r="I101" s="47" t="str">
        <f t="shared" si="30"/>
        <v/>
      </c>
      <c r="J101" s="45" t="str">
        <f t="shared" si="31"/>
        <v/>
      </c>
      <c r="K101" s="47" t="str">
        <f t="shared" si="32"/>
        <v/>
      </c>
      <c r="L101" s="45" t="str">
        <f t="shared" si="33"/>
        <v/>
      </c>
      <c r="M101" s="45" t="str">
        <f t="shared" si="37"/>
        <v/>
      </c>
      <c r="N101" s="46" t="str">
        <f t="shared" si="37"/>
        <v/>
      </c>
      <c r="O101" s="46" t="str">
        <f t="shared" si="37"/>
        <v/>
      </c>
      <c r="P101" s="109" t="str">
        <f t="shared" si="37"/>
        <v/>
      </c>
      <c r="Q101" s="44" t="str">
        <f t="shared" si="37"/>
        <v/>
      </c>
      <c r="R101" s="49" t="str">
        <f t="shared" si="37"/>
        <v/>
      </c>
      <c r="S101" s="21"/>
    </row>
    <row r="102" spans="1:19">
      <c r="A102" s="20"/>
      <c r="B102" s="42">
        <v>88</v>
      </c>
      <c r="C102" s="43" t="str">
        <f t="shared" si="34"/>
        <v/>
      </c>
      <c r="D102" s="43" t="str">
        <f t="shared" si="28"/>
        <v/>
      </c>
      <c r="E102" s="43" t="str">
        <f t="shared" si="29"/>
        <v/>
      </c>
      <c r="F102" s="44" t="str">
        <f t="shared" si="36"/>
        <v/>
      </c>
      <c r="G102" s="44" t="str">
        <f t="shared" si="36"/>
        <v/>
      </c>
      <c r="H102" s="43" t="str">
        <f t="shared" si="25"/>
        <v/>
      </c>
      <c r="I102" s="47" t="str">
        <f t="shared" si="30"/>
        <v/>
      </c>
      <c r="J102" s="45" t="str">
        <f t="shared" si="31"/>
        <v/>
      </c>
      <c r="K102" s="47" t="str">
        <f t="shared" si="32"/>
        <v/>
      </c>
      <c r="L102" s="45" t="str">
        <f t="shared" si="33"/>
        <v/>
      </c>
      <c r="M102" s="45" t="str">
        <f t="shared" si="37"/>
        <v/>
      </c>
      <c r="N102" s="46" t="str">
        <f t="shared" si="37"/>
        <v/>
      </c>
      <c r="O102" s="46" t="str">
        <f t="shared" si="37"/>
        <v/>
      </c>
      <c r="P102" s="109" t="str">
        <f t="shared" si="37"/>
        <v/>
      </c>
      <c r="Q102" s="44" t="str">
        <f t="shared" si="37"/>
        <v/>
      </c>
      <c r="R102" s="49" t="str">
        <f t="shared" si="37"/>
        <v/>
      </c>
      <c r="S102" s="21"/>
    </row>
    <row r="103" spans="1:19">
      <c r="A103" s="20"/>
      <c r="B103" s="42">
        <v>89</v>
      </c>
      <c r="C103" s="43" t="str">
        <f t="shared" si="34"/>
        <v/>
      </c>
      <c r="D103" s="43" t="str">
        <f t="shared" si="28"/>
        <v/>
      </c>
      <c r="E103" s="43" t="str">
        <f t="shared" si="29"/>
        <v/>
      </c>
      <c r="F103" s="44" t="str">
        <f t="shared" si="36"/>
        <v/>
      </c>
      <c r="G103" s="44" t="str">
        <f t="shared" si="36"/>
        <v/>
      </c>
      <c r="H103" s="43" t="str">
        <f t="shared" si="25"/>
        <v/>
      </c>
      <c r="I103" s="47" t="str">
        <f t="shared" si="30"/>
        <v/>
      </c>
      <c r="J103" s="45" t="str">
        <f t="shared" si="31"/>
        <v/>
      </c>
      <c r="K103" s="47" t="str">
        <f t="shared" si="32"/>
        <v/>
      </c>
      <c r="L103" s="45" t="str">
        <f t="shared" si="33"/>
        <v/>
      </c>
      <c r="M103" s="45" t="str">
        <f t="shared" si="37"/>
        <v/>
      </c>
      <c r="N103" s="46" t="str">
        <f t="shared" si="37"/>
        <v/>
      </c>
      <c r="O103" s="46" t="str">
        <f t="shared" si="37"/>
        <v/>
      </c>
      <c r="P103" s="109" t="str">
        <f t="shared" si="37"/>
        <v/>
      </c>
      <c r="Q103" s="44" t="str">
        <f t="shared" si="37"/>
        <v/>
      </c>
      <c r="R103" s="49" t="str">
        <f t="shared" si="37"/>
        <v/>
      </c>
      <c r="S103" s="21"/>
    </row>
    <row r="104" spans="1:19">
      <c r="A104" s="20"/>
      <c r="B104" s="42">
        <v>90</v>
      </c>
      <c r="C104" s="43" t="str">
        <f t="shared" si="34"/>
        <v/>
      </c>
      <c r="D104" s="43" t="str">
        <f t="shared" si="28"/>
        <v/>
      </c>
      <c r="E104" s="43" t="str">
        <f t="shared" si="29"/>
        <v/>
      </c>
      <c r="F104" s="44" t="str">
        <f t="shared" si="36"/>
        <v/>
      </c>
      <c r="G104" s="44" t="str">
        <f t="shared" si="36"/>
        <v/>
      </c>
      <c r="H104" s="43" t="str">
        <f t="shared" si="25"/>
        <v/>
      </c>
      <c r="I104" s="47" t="str">
        <f t="shared" si="30"/>
        <v/>
      </c>
      <c r="J104" s="45" t="str">
        <f t="shared" si="31"/>
        <v/>
      </c>
      <c r="K104" s="47" t="str">
        <f t="shared" si="32"/>
        <v/>
      </c>
      <c r="L104" s="45" t="str">
        <f t="shared" si="33"/>
        <v/>
      </c>
      <c r="M104" s="45" t="str">
        <f t="shared" si="37"/>
        <v/>
      </c>
      <c r="N104" s="46" t="str">
        <f t="shared" si="37"/>
        <v/>
      </c>
      <c r="O104" s="46" t="str">
        <f t="shared" si="37"/>
        <v/>
      </c>
      <c r="P104" s="109" t="str">
        <f t="shared" si="37"/>
        <v/>
      </c>
      <c r="Q104" s="44" t="str">
        <f t="shared" si="37"/>
        <v/>
      </c>
      <c r="R104" s="49" t="str">
        <f t="shared" si="37"/>
        <v/>
      </c>
      <c r="S104" s="21"/>
    </row>
    <row r="105" spans="1:19">
      <c r="A105" s="20"/>
      <c r="B105" s="42">
        <v>91</v>
      </c>
      <c r="C105" s="43" t="str">
        <f t="shared" si="34"/>
        <v/>
      </c>
      <c r="D105" s="43" t="str">
        <f t="shared" si="28"/>
        <v/>
      </c>
      <c r="E105" s="43" t="str">
        <f t="shared" si="29"/>
        <v/>
      </c>
      <c r="F105" s="44" t="str">
        <f t="shared" si="36"/>
        <v/>
      </c>
      <c r="G105" s="44" t="str">
        <f t="shared" si="36"/>
        <v/>
      </c>
      <c r="H105" s="43" t="str">
        <f t="shared" si="25"/>
        <v/>
      </c>
      <c r="I105" s="47" t="str">
        <f t="shared" si="30"/>
        <v/>
      </c>
      <c r="J105" s="45" t="str">
        <f t="shared" si="31"/>
        <v/>
      </c>
      <c r="K105" s="47" t="str">
        <f t="shared" si="32"/>
        <v/>
      </c>
      <c r="L105" s="45" t="str">
        <f t="shared" si="33"/>
        <v/>
      </c>
      <c r="M105" s="45" t="str">
        <f t="shared" ref="M105:R114" si="38">IF($C105="","",VLOOKUP($B105,Opps_Selection,M$12,FALSE))</f>
        <v/>
      </c>
      <c r="N105" s="46" t="str">
        <f t="shared" si="38"/>
        <v/>
      </c>
      <c r="O105" s="46" t="str">
        <f t="shared" si="38"/>
        <v/>
      </c>
      <c r="P105" s="109" t="str">
        <f t="shared" si="38"/>
        <v/>
      </c>
      <c r="Q105" s="44" t="str">
        <f t="shared" si="38"/>
        <v/>
      </c>
      <c r="R105" s="49" t="str">
        <f t="shared" si="38"/>
        <v/>
      </c>
      <c r="S105" s="21"/>
    </row>
    <row r="106" spans="1:19">
      <c r="A106" s="20"/>
      <c r="B106" s="42">
        <v>92</v>
      </c>
      <c r="C106" s="43" t="str">
        <f t="shared" si="34"/>
        <v/>
      </c>
      <c r="D106" s="43" t="str">
        <f t="shared" si="28"/>
        <v/>
      </c>
      <c r="E106" s="43" t="str">
        <f t="shared" si="29"/>
        <v/>
      </c>
      <c r="F106" s="44" t="str">
        <f t="shared" si="36"/>
        <v/>
      </c>
      <c r="G106" s="44" t="str">
        <f t="shared" si="36"/>
        <v/>
      </c>
      <c r="H106" s="43" t="str">
        <f t="shared" si="25"/>
        <v/>
      </c>
      <c r="I106" s="47" t="str">
        <f t="shared" si="30"/>
        <v/>
      </c>
      <c r="J106" s="45" t="str">
        <f t="shared" si="31"/>
        <v/>
      </c>
      <c r="K106" s="47" t="str">
        <f t="shared" si="32"/>
        <v/>
      </c>
      <c r="L106" s="45" t="str">
        <f t="shared" si="33"/>
        <v/>
      </c>
      <c r="M106" s="45" t="str">
        <f t="shared" si="38"/>
        <v/>
      </c>
      <c r="N106" s="46" t="str">
        <f t="shared" si="38"/>
        <v/>
      </c>
      <c r="O106" s="46" t="str">
        <f t="shared" si="38"/>
        <v/>
      </c>
      <c r="P106" s="109" t="str">
        <f t="shared" si="38"/>
        <v/>
      </c>
      <c r="Q106" s="44" t="str">
        <f t="shared" si="38"/>
        <v/>
      </c>
      <c r="R106" s="49" t="str">
        <f t="shared" si="38"/>
        <v/>
      </c>
      <c r="S106" s="21"/>
    </row>
    <row r="107" spans="1:19">
      <c r="A107" s="20"/>
      <c r="B107" s="42">
        <v>93</v>
      </c>
      <c r="C107" s="43" t="str">
        <f t="shared" si="34"/>
        <v/>
      </c>
      <c r="D107" s="43" t="str">
        <f t="shared" si="28"/>
        <v/>
      </c>
      <c r="E107" s="43" t="str">
        <f t="shared" si="29"/>
        <v/>
      </c>
      <c r="F107" s="44" t="str">
        <f t="shared" si="36"/>
        <v/>
      </c>
      <c r="G107" s="44" t="str">
        <f t="shared" si="36"/>
        <v/>
      </c>
      <c r="H107" s="43" t="str">
        <f t="shared" si="25"/>
        <v/>
      </c>
      <c r="I107" s="47" t="str">
        <f t="shared" si="30"/>
        <v/>
      </c>
      <c r="J107" s="45" t="str">
        <f t="shared" si="31"/>
        <v/>
      </c>
      <c r="K107" s="47" t="str">
        <f t="shared" si="32"/>
        <v/>
      </c>
      <c r="L107" s="45" t="str">
        <f t="shared" si="33"/>
        <v/>
      </c>
      <c r="M107" s="45" t="str">
        <f t="shared" si="38"/>
        <v/>
      </c>
      <c r="N107" s="46" t="str">
        <f t="shared" si="38"/>
        <v/>
      </c>
      <c r="O107" s="46" t="str">
        <f t="shared" si="38"/>
        <v/>
      </c>
      <c r="P107" s="109" t="str">
        <f t="shared" si="38"/>
        <v/>
      </c>
      <c r="Q107" s="44" t="str">
        <f t="shared" si="38"/>
        <v/>
      </c>
      <c r="R107" s="49" t="str">
        <f t="shared" si="38"/>
        <v/>
      </c>
      <c r="S107" s="21"/>
    </row>
    <row r="108" spans="1:19">
      <c r="A108" s="20"/>
      <c r="B108" s="42">
        <v>94</v>
      </c>
      <c r="C108" s="43" t="str">
        <f t="shared" si="34"/>
        <v/>
      </c>
      <c r="D108" s="43" t="str">
        <f t="shared" si="28"/>
        <v/>
      </c>
      <c r="E108" s="43" t="str">
        <f t="shared" si="29"/>
        <v/>
      </c>
      <c r="F108" s="44" t="str">
        <f t="shared" si="36"/>
        <v/>
      </c>
      <c r="G108" s="44" t="str">
        <f t="shared" si="36"/>
        <v/>
      </c>
      <c r="H108" s="43" t="str">
        <f t="shared" si="25"/>
        <v/>
      </c>
      <c r="I108" s="47" t="str">
        <f t="shared" si="30"/>
        <v/>
      </c>
      <c r="J108" s="45" t="str">
        <f t="shared" si="31"/>
        <v/>
      </c>
      <c r="K108" s="47" t="str">
        <f t="shared" si="32"/>
        <v/>
      </c>
      <c r="L108" s="45" t="str">
        <f t="shared" si="33"/>
        <v/>
      </c>
      <c r="M108" s="45" t="str">
        <f t="shared" si="38"/>
        <v/>
      </c>
      <c r="N108" s="46" t="str">
        <f t="shared" si="38"/>
        <v/>
      </c>
      <c r="O108" s="46" t="str">
        <f t="shared" si="38"/>
        <v/>
      </c>
      <c r="P108" s="109" t="str">
        <f t="shared" si="38"/>
        <v/>
      </c>
      <c r="Q108" s="44" t="str">
        <f t="shared" si="38"/>
        <v/>
      </c>
      <c r="R108" s="49" t="str">
        <f t="shared" si="38"/>
        <v/>
      </c>
      <c r="S108" s="21"/>
    </row>
    <row r="109" spans="1:19">
      <c r="A109" s="20"/>
      <c r="B109" s="42">
        <v>95</v>
      </c>
      <c r="C109" s="43" t="str">
        <f t="shared" si="34"/>
        <v/>
      </c>
      <c r="D109" s="43" t="str">
        <f t="shared" si="28"/>
        <v/>
      </c>
      <c r="E109" s="43" t="str">
        <f t="shared" si="29"/>
        <v/>
      </c>
      <c r="F109" s="44" t="str">
        <f t="shared" si="36"/>
        <v/>
      </c>
      <c r="G109" s="44" t="str">
        <f t="shared" si="36"/>
        <v/>
      </c>
      <c r="H109" s="43" t="str">
        <f t="shared" si="25"/>
        <v/>
      </c>
      <c r="I109" s="47" t="str">
        <f t="shared" si="30"/>
        <v/>
      </c>
      <c r="J109" s="45" t="str">
        <f t="shared" si="31"/>
        <v/>
      </c>
      <c r="K109" s="47" t="str">
        <f t="shared" si="32"/>
        <v/>
      </c>
      <c r="L109" s="45" t="str">
        <f t="shared" si="33"/>
        <v/>
      </c>
      <c r="M109" s="45" t="str">
        <f t="shared" si="38"/>
        <v/>
      </c>
      <c r="N109" s="46" t="str">
        <f t="shared" si="38"/>
        <v/>
      </c>
      <c r="O109" s="46" t="str">
        <f t="shared" si="38"/>
        <v/>
      </c>
      <c r="P109" s="109" t="str">
        <f t="shared" si="38"/>
        <v/>
      </c>
      <c r="Q109" s="44" t="str">
        <f t="shared" si="38"/>
        <v/>
      </c>
      <c r="R109" s="49" t="str">
        <f t="shared" si="38"/>
        <v/>
      </c>
      <c r="S109" s="21"/>
    </row>
    <row r="110" spans="1:19">
      <c r="A110" s="20"/>
      <c r="B110" s="42">
        <v>96</v>
      </c>
      <c r="C110" s="43" t="str">
        <f t="shared" si="34"/>
        <v/>
      </c>
      <c r="D110" s="43" t="str">
        <f t="shared" si="28"/>
        <v/>
      </c>
      <c r="E110" s="43" t="str">
        <f t="shared" si="29"/>
        <v/>
      </c>
      <c r="F110" s="44" t="str">
        <f t="shared" si="36"/>
        <v/>
      </c>
      <c r="G110" s="44" t="str">
        <f t="shared" si="36"/>
        <v/>
      </c>
      <c r="H110" s="43" t="str">
        <f t="shared" si="25"/>
        <v/>
      </c>
      <c r="I110" s="47" t="str">
        <f t="shared" si="30"/>
        <v/>
      </c>
      <c r="J110" s="45" t="str">
        <f t="shared" si="31"/>
        <v/>
      </c>
      <c r="K110" s="47" t="str">
        <f t="shared" si="32"/>
        <v/>
      </c>
      <c r="L110" s="45" t="str">
        <f t="shared" si="33"/>
        <v/>
      </c>
      <c r="M110" s="45" t="str">
        <f t="shared" si="38"/>
        <v/>
      </c>
      <c r="N110" s="46" t="str">
        <f t="shared" si="38"/>
        <v/>
      </c>
      <c r="O110" s="46" t="str">
        <f t="shared" si="38"/>
        <v/>
      </c>
      <c r="P110" s="109" t="str">
        <f t="shared" si="38"/>
        <v/>
      </c>
      <c r="Q110" s="44" t="str">
        <f t="shared" si="38"/>
        <v/>
      </c>
      <c r="R110" s="49" t="str">
        <f t="shared" si="38"/>
        <v/>
      </c>
      <c r="S110" s="21"/>
    </row>
    <row r="111" spans="1:19">
      <c r="A111" s="20"/>
      <c r="B111" s="42">
        <v>97</v>
      </c>
      <c r="C111" s="43" t="str">
        <f t="shared" si="34"/>
        <v/>
      </c>
      <c r="D111" s="43" t="str">
        <f>IF(C111="Renewables","Energy generation",IF($C111="","",VLOOKUP($B111,Opps_Selection,D$12,FALSE)))</f>
        <v/>
      </c>
      <c r="E111" s="43" t="str">
        <f t="shared" si="29"/>
        <v/>
      </c>
      <c r="F111" s="44" t="str">
        <f t="shared" si="36"/>
        <v/>
      </c>
      <c r="G111" s="44" t="str">
        <f t="shared" si="36"/>
        <v/>
      </c>
      <c r="H111" s="43" t="str">
        <f t="shared" si="25"/>
        <v/>
      </c>
      <c r="I111" s="47" t="str">
        <f t="shared" si="30"/>
        <v/>
      </c>
      <c r="J111" s="45" t="str">
        <f>IF($C111="","",IF(I111="Natural gas",VLOOKUP($B111,Opps_Selection,J$12,FALSE),IF(I111="Petrol",VLOOKUP($B111,Opps_Selection,12,FALSE),IF(I111="Aviation Fuel",VLOOKUP($B111,Opps_Selection,14,FALSE),0))))</f>
        <v/>
      </c>
      <c r="K111" s="47" t="str">
        <f t="shared" si="32"/>
        <v/>
      </c>
      <c r="L111" s="45" t="str">
        <f>IF($C111="","",IF(K111="Electricity (grid)",VLOOKUP($B111,Opps_Selection,L$12,FALSE),IF(K111="Diesel",VLOOKUP($B111,Opps_Selection,13,FALSE),0)))</f>
        <v/>
      </c>
      <c r="M111" s="45" t="str">
        <f t="shared" si="38"/>
        <v/>
      </c>
      <c r="N111" s="46" t="str">
        <f t="shared" si="38"/>
        <v/>
      </c>
      <c r="O111" s="46" t="str">
        <f t="shared" si="38"/>
        <v/>
      </c>
      <c r="P111" s="109" t="str">
        <f t="shared" si="38"/>
        <v/>
      </c>
      <c r="Q111" s="44" t="str">
        <f t="shared" si="38"/>
        <v/>
      </c>
      <c r="R111" s="49" t="str">
        <f t="shared" si="38"/>
        <v/>
      </c>
      <c r="S111" s="21"/>
    </row>
    <row r="112" spans="1:19">
      <c r="A112" s="20"/>
      <c r="B112" s="42">
        <v>98</v>
      </c>
      <c r="C112" s="43" t="str">
        <f t="shared" si="34"/>
        <v/>
      </c>
      <c r="D112" s="43" t="str">
        <f>IF(C112="Renewables","Energy generation",IF($C112="","",VLOOKUP($B112,Opps_Selection,D$12,FALSE)))</f>
        <v/>
      </c>
      <c r="E112" s="43" t="str">
        <f t="shared" si="29"/>
        <v/>
      </c>
      <c r="F112" s="44" t="str">
        <f t="shared" si="36"/>
        <v/>
      </c>
      <c r="G112" s="44" t="str">
        <f t="shared" si="36"/>
        <v/>
      </c>
      <c r="H112" s="43" t="str">
        <f t="shared" si="25"/>
        <v/>
      </c>
      <c r="I112" s="47" t="str">
        <f t="shared" si="30"/>
        <v/>
      </c>
      <c r="J112" s="45" t="str">
        <f>IF($C112="","",IF(I112="Natural gas",VLOOKUP($B112,Opps_Selection,J$12,FALSE),IF(I112="Petrol",VLOOKUP($B112,Opps_Selection,12,FALSE),IF(I112="Aviation Fuel",VLOOKUP($B112,Opps_Selection,14,FALSE),0))))</f>
        <v/>
      </c>
      <c r="K112" s="47" t="str">
        <f t="shared" si="32"/>
        <v/>
      </c>
      <c r="L112" s="45" t="str">
        <f>IF($C112="","",IF(K112="Electricity (grid)",VLOOKUP($B112,Opps_Selection,L$12,FALSE),IF(K112="Diesel",VLOOKUP($B112,Opps_Selection,13,FALSE),0)))</f>
        <v/>
      </c>
      <c r="M112" s="45" t="str">
        <f t="shared" si="38"/>
        <v/>
      </c>
      <c r="N112" s="46" t="str">
        <f t="shared" si="38"/>
        <v/>
      </c>
      <c r="O112" s="46" t="str">
        <f t="shared" si="38"/>
        <v/>
      </c>
      <c r="P112" s="109" t="str">
        <f t="shared" si="38"/>
        <v/>
      </c>
      <c r="Q112" s="44" t="str">
        <f t="shared" si="38"/>
        <v/>
      </c>
      <c r="R112" s="49" t="str">
        <f t="shared" si="38"/>
        <v/>
      </c>
      <c r="S112" s="21"/>
    </row>
    <row r="113" spans="1:19">
      <c r="A113" s="20"/>
      <c r="B113" s="42">
        <v>99</v>
      </c>
      <c r="C113" s="43" t="str">
        <f t="shared" si="34"/>
        <v/>
      </c>
      <c r="D113" s="43" t="str">
        <f>IF(C113="Renewables","Energy generation",IF($C113="","",VLOOKUP($B113,Opps_Selection,D$12,FALSE)))</f>
        <v/>
      </c>
      <c r="E113" s="43" t="str">
        <f t="shared" si="29"/>
        <v/>
      </c>
      <c r="F113" s="44" t="str">
        <f t="shared" si="36"/>
        <v/>
      </c>
      <c r="G113" s="44" t="str">
        <f t="shared" si="36"/>
        <v/>
      </c>
      <c r="H113" s="43" t="str">
        <f t="shared" si="25"/>
        <v/>
      </c>
      <c r="I113" s="47" t="str">
        <f t="shared" si="30"/>
        <v/>
      </c>
      <c r="J113" s="45" t="str">
        <f>IF($C113="","",IF(I113="Natural gas",VLOOKUP($B113,Opps_Selection,J$12,FALSE),IF(I113="Petrol",VLOOKUP($B113,Opps_Selection,12,FALSE),IF(I113="Aviation Fuel",VLOOKUP($B113,Opps_Selection,14,FALSE),0))))</f>
        <v/>
      </c>
      <c r="K113" s="47" t="str">
        <f t="shared" si="32"/>
        <v/>
      </c>
      <c r="L113" s="45" t="str">
        <f>IF($C113="","",IF(K113="Electricity (grid)",VLOOKUP($B113,Opps_Selection,L$12,FALSE),IF(K113="Diesel",VLOOKUP($B113,Opps_Selection,13,FALSE),0)))</f>
        <v/>
      </c>
      <c r="M113" s="45" t="str">
        <f t="shared" si="38"/>
        <v/>
      </c>
      <c r="N113" s="46" t="str">
        <f t="shared" si="38"/>
        <v/>
      </c>
      <c r="O113" s="46" t="str">
        <f t="shared" si="38"/>
        <v/>
      </c>
      <c r="P113" s="109" t="str">
        <f t="shared" si="38"/>
        <v/>
      </c>
      <c r="Q113" s="44" t="str">
        <f t="shared" si="38"/>
        <v/>
      </c>
      <c r="R113" s="49" t="str">
        <f t="shared" si="38"/>
        <v/>
      </c>
      <c r="S113" s="21"/>
    </row>
    <row r="114" spans="1:19">
      <c r="A114" s="20"/>
      <c r="B114" s="42">
        <v>100</v>
      </c>
      <c r="C114" s="43" t="str">
        <f t="shared" si="34"/>
        <v/>
      </c>
      <c r="D114" s="43" t="str">
        <f>IF(C114="Renewables","Energy generation",IF($C114="","",VLOOKUP($B114,Opps_Selection,D$12,FALSE)))</f>
        <v/>
      </c>
      <c r="E114" s="43" t="str">
        <f t="shared" si="29"/>
        <v/>
      </c>
      <c r="F114" s="44" t="str">
        <f t="shared" si="36"/>
        <v/>
      </c>
      <c r="G114" s="44" t="str">
        <f t="shared" si="36"/>
        <v/>
      </c>
      <c r="H114" s="43" t="str">
        <f t="shared" si="25"/>
        <v/>
      </c>
      <c r="I114" s="47" t="str">
        <f t="shared" si="30"/>
        <v/>
      </c>
      <c r="J114" s="45" t="str">
        <f>IF($C114="","",IF(I114="Natural gas",VLOOKUP($B114,Opps_Selection,J$12,FALSE),IF(I114="Petrol",VLOOKUP($B114,Opps_Selection,12,FALSE),IF(I114="Aviation Fuel",VLOOKUP($B114,Opps_Selection,14,FALSE),0))))</f>
        <v/>
      </c>
      <c r="K114" s="47" t="str">
        <f t="shared" si="32"/>
        <v/>
      </c>
      <c r="L114" s="45" t="str">
        <f>IF($C114="","",IF(K114="Electricity (grid)",VLOOKUP($B114,Opps_Selection,L$12,FALSE),IF(K114="Diesel",VLOOKUP($B114,Opps_Selection,13,FALSE),0)))</f>
        <v/>
      </c>
      <c r="M114" s="45" t="str">
        <f t="shared" si="38"/>
        <v/>
      </c>
      <c r="N114" s="46" t="str">
        <f t="shared" si="38"/>
        <v/>
      </c>
      <c r="O114" s="46" t="str">
        <f t="shared" si="38"/>
        <v/>
      </c>
      <c r="P114" s="109" t="str">
        <f t="shared" si="38"/>
        <v/>
      </c>
      <c r="Q114" s="44" t="str">
        <f t="shared" si="38"/>
        <v/>
      </c>
      <c r="R114" s="49" t="str">
        <f t="shared" si="38"/>
        <v/>
      </c>
      <c r="S114" s="21"/>
    </row>
    <row r="115" spans="1:19">
      <c r="B115" s="23"/>
      <c r="C115" s="23"/>
      <c r="D115" s="23"/>
      <c r="E115" s="23"/>
      <c r="F115" s="23"/>
      <c r="G115" s="23"/>
      <c r="H115" s="23"/>
      <c r="I115" s="23"/>
      <c r="J115" s="23"/>
      <c r="K115" s="23"/>
      <c r="L115" s="23"/>
      <c r="M115" s="23"/>
      <c r="N115" s="23"/>
      <c r="O115" s="23"/>
      <c r="P115" s="23"/>
      <c r="Q115" s="23"/>
      <c r="R115" s="23"/>
    </row>
  </sheetData>
  <phoneticPr fontId="5" type="noConversion"/>
  <hyperlinks>
    <hyperlink ref="R11" r:id="rId1" display="http://www.lse.ac.uk/intranet/LSEServices/estatesDivision/sustainableLSE/policyObjectives/communityInvolvement/LUEG/CarbonReduction/Documents/Resources/091016LUEG-CRSG-CarbonTrust-HERapidAssessmentPotential.xls"/>
  </hyperlinks>
  <pageMargins left="0.75" right="0.75" top="1" bottom="1" header="0.5" footer="0.5"/>
  <pageSetup paperSize="9" orientation="portrait" horizontalDpi="525" verticalDpi="525" r:id="rId2"/>
  <headerFooter alignWithMargins="0"/>
</worksheet>
</file>

<file path=xl/worksheets/sheet4.xml><?xml version="1.0" encoding="utf-8"?>
<worksheet xmlns="http://schemas.openxmlformats.org/spreadsheetml/2006/main" xmlns:r="http://schemas.openxmlformats.org/officeDocument/2006/relationships">
  <sheetPr codeName="Sheet6"/>
  <dimension ref="B1:E10"/>
  <sheetViews>
    <sheetView workbookViewId="0">
      <selection activeCell="E7" sqref="E7"/>
    </sheetView>
  </sheetViews>
  <sheetFormatPr defaultRowHeight="12.75"/>
  <cols>
    <col min="1" max="1" width="3.5703125" style="50" customWidth="1"/>
    <col min="2" max="2" width="13.42578125" style="50" customWidth="1"/>
    <col min="3" max="5" width="20.7109375" style="50" customWidth="1"/>
    <col min="6" max="16384" width="9.140625" style="50"/>
  </cols>
  <sheetData>
    <row r="1" spans="2:5" ht="25.5" customHeight="1">
      <c r="B1" s="12" t="s">
        <v>163</v>
      </c>
      <c r="E1" s="71" t="s">
        <v>186</v>
      </c>
    </row>
    <row r="3" spans="2:5" ht="99.75" customHeight="1"/>
    <row r="4" spans="2:5" ht="58.5" customHeight="1">
      <c r="C4" s="260" t="s">
        <v>161</v>
      </c>
      <c r="D4" s="261"/>
      <c r="E4" s="262"/>
    </row>
    <row r="5" spans="2:5" ht="90" customHeight="1">
      <c r="B5" s="259" t="s">
        <v>162</v>
      </c>
      <c r="C5" s="51">
        <f>COUNTIF('Selected opps'!R15:R114,1)</f>
        <v>0</v>
      </c>
      <c r="D5" s="51">
        <f>COUNTIF('Selected opps'!R15:R114,2)</f>
        <v>0</v>
      </c>
      <c r="E5" s="52">
        <f>COUNTIF('Selected opps'!R15:R114,3)</f>
        <v>1</v>
      </c>
    </row>
    <row r="6" spans="2:5" ht="90" customHeight="1">
      <c r="B6" s="259"/>
      <c r="C6" s="51">
        <f>COUNTIF('Selected opps'!R15:R114,4)</f>
        <v>1</v>
      </c>
      <c r="D6" s="52">
        <f>COUNTIF('Selected opps'!R15:R114,5)</f>
        <v>0</v>
      </c>
      <c r="E6" s="53">
        <f>COUNTIF('Selected opps'!R15:R114,6)</f>
        <v>0</v>
      </c>
    </row>
    <row r="7" spans="2:5" ht="90" customHeight="1">
      <c r="B7" s="259"/>
      <c r="C7" s="52">
        <f>COUNTIF('Selected opps'!R15:R114,7)</f>
        <v>0</v>
      </c>
      <c r="D7" s="53">
        <f>COUNTIF('Selected opps'!R15:R114,8)</f>
        <v>0</v>
      </c>
      <c r="E7" s="53">
        <f>COUNTIF('Selected opps'!R15:R114,9)</f>
        <v>0</v>
      </c>
    </row>
    <row r="10" spans="2:5">
      <c r="C10" s="15" t="s">
        <v>164</v>
      </c>
      <c r="D10" s="48">
        <f>SUM(C5:E7)</f>
        <v>2</v>
      </c>
    </row>
  </sheetData>
  <mergeCells count="2">
    <mergeCell ref="B5:B7"/>
    <mergeCell ref="C4:E4"/>
  </mergeCells>
  <phoneticPr fontId="5" type="noConversion"/>
  <hyperlinks>
    <hyperlink ref="E1" r:id="rId1" display="http://www.lse.ac.uk/intranet/LSEServices/estatesDivision/sustainableLSE/policyObjectives/communityInvolvement/LUEG/CarbonReduction/Documents/Resources/091016LUEG-CRSG-CarbonTrust-HERapidAssessmentPotential.xls"/>
  </hyperlinks>
  <pageMargins left="0.75" right="0.75" top="1" bottom="1" header="0.5" footer="0.5"/>
  <pageSetup paperSize="9" orientation="portrait" horizontalDpi="525" verticalDpi="525"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sheetPr codeName="Sheet1"/>
  <dimension ref="A2:S145"/>
  <sheetViews>
    <sheetView workbookViewId="0">
      <selection activeCell="E30" sqref="E30"/>
    </sheetView>
  </sheetViews>
  <sheetFormatPr defaultRowHeight="12.75"/>
  <cols>
    <col min="1" max="1" width="1.7109375" style="13" customWidth="1"/>
    <col min="2" max="2" width="2.28515625" style="13" customWidth="1"/>
    <col min="3" max="3" width="20.42578125" style="13" customWidth="1"/>
    <col min="4" max="4" width="10.85546875" style="13" customWidth="1"/>
    <col min="5" max="5" width="12.5703125" style="13" customWidth="1"/>
    <col min="6" max="6" width="13.7109375" style="13" customWidth="1"/>
    <col min="7" max="8" width="9.140625" style="13" customWidth="1"/>
    <col min="9" max="9" width="3.28515625" style="13" customWidth="1"/>
    <col min="10" max="10" width="3.7109375" style="13" customWidth="1"/>
    <col min="11" max="11" width="2.28515625" style="13" customWidth="1"/>
    <col min="12" max="12" width="22.140625" style="13" customWidth="1"/>
    <col min="13" max="13" width="10.85546875" style="13" customWidth="1"/>
    <col min="14" max="14" width="12.5703125" style="13" customWidth="1"/>
    <col min="15" max="15" width="13.7109375" style="13" customWidth="1"/>
    <col min="16" max="17" width="9.140625" style="13" customWidth="1"/>
    <col min="18" max="18" width="3.28515625" style="13" customWidth="1"/>
    <col min="19" max="16384" width="9.140625" style="13"/>
  </cols>
  <sheetData>
    <row r="2" spans="1:19" ht="20.25">
      <c r="B2" s="12" t="s">
        <v>145</v>
      </c>
    </row>
    <row r="3" spans="1:19" ht="21" thickBot="1">
      <c r="B3" s="89"/>
      <c r="C3" s="22"/>
      <c r="D3" s="22"/>
      <c r="E3" s="22"/>
      <c r="F3" s="22"/>
      <c r="G3" s="22"/>
      <c r="H3" s="22"/>
      <c r="I3" s="22"/>
      <c r="K3" s="89"/>
      <c r="L3" s="22"/>
      <c r="M3" s="22"/>
      <c r="N3" s="22"/>
      <c r="O3" s="22"/>
      <c r="P3" s="22"/>
      <c r="Q3" s="22"/>
      <c r="R3" s="22"/>
    </row>
    <row r="4" spans="1:19" ht="10.5" customHeight="1">
      <c r="A4" s="20"/>
      <c r="B4" s="90"/>
      <c r="C4" s="91"/>
      <c r="D4" s="91"/>
      <c r="E4" s="91"/>
      <c r="F4" s="91"/>
      <c r="G4" s="91"/>
      <c r="H4" s="91"/>
      <c r="I4" s="92"/>
      <c r="J4" s="25"/>
      <c r="K4" s="204"/>
      <c r="L4" s="205"/>
      <c r="M4" s="205"/>
      <c r="N4" s="205"/>
      <c r="O4" s="205"/>
      <c r="P4" s="205"/>
      <c r="Q4" s="205"/>
      <c r="R4" s="206"/>
      <c r="S4" s="21"/>
    </row>
    <row r="5" spans="1:19" ht="20.25">
      <c r="A5" s="20"/>
      <c r="B5" s="93"/>
      <c r="C5" s="83" t="s">
        <v>168</v>
      </c>
      <c r="I5" s="94"/>
      <c r="J5" s="25"/>
      <c r="K5" s="207"/>
      <c r="L5" s="208" t="s">
        <v>169</v>
      </c>
      <c r="M5" s="182"/>
      <c r="N5" s="182"/>
      <c r="O5" s="182"/>
      <c r="P5" s="182"/>
      <c r="Q5" s="182"/>
      <c r="R5" s="200"/>
      <c r="S5" s="21"/>
    </row>
    <row r="6" spans="1:19">
      <c r="A6" s="20"/>
      <c r="B6" s="95"/>
      <c r="D6" s="22"/>
      <c r="E6" s="22"/>
      <c r="F6" s="22"/>
      <c r="G6" s="22"/>
      <c r="H6" s="22"/>
      <c r="I6" s="94"/>
      <c r="J6" s="25"/>
      <c r="K6" s="209"/>
      <c r="L6" s="182"/>
      <c r="M6" s="182"/>
      <c r="N6" s="182"/>
      <c r="O6" s="182"/>
      <c r="P6" s="182"/>
      <c r="Q6" s="182"/>
      <c r="R6" s="200"/>
      <c r="S6" s="21"/>
    </row>
    <row r="7" spans="1:19" ht="38.25">
      <c r="A7" s="20"/>
      <c r="B7" s="96"/>
      <c r="C7" s="85"/>
      <c r="D7" s="1" t="str">
        <f>Baseline!$H$22</f>
        <v>Baseline emissions (tCO2/yr)</v>
      </c>
      <c r="E7" s="1" t="s">
        <v>74</v>
      </c>
      <c r="F7" s="1" t="s">
        <v>75</v>
      </c>
      <c r="G7" s="1" t="s">
        <v>76</v>
      </c>
      <c r="H7" s="1" t="s">
        <v>77</v>
      </c>
      <c r="I7" s="97"/>
      <c r="J7" s="25"/>
      <c r="K7" s="210"/>
      <c r="L7" s="211"/>
      <c r="M7" s="212" t="str">
        <f>Baseline!$H$22</f>
        <v>Baseline emissions (tCO2/yr)</v>
      </c>
      <c r="N7" s="212" t="s">
        <v>74</v>
      </c>
      <c r="O7" s="212" t="s">
        <v>75</v>
      </c>
      <c r="P7" s="212" t="s">
        <v>76</v>
      </c>
      <c r="Q7" s="212" t="s">
        <v>77</v>
      </c>
      <c r="R7" s="200"/>
      <c r="S7" s="21"/>
    </row>
    <row r="8" spans="1:19" ht="15">
      <c r="A8" s="20"/>
      <c r="B8" s="98"/>
      <c r="C8" s="7" t="str">
        <f>Baseline!C23</f>
        <v>halls</v>
      </c>
      <c r="D8" s="7">
        <f>Baseline!H23</f>
        <v>7150.5047067930009</v>
      </c>
      <c r="E8" s="7">
        <f t="shared" ref="E8:E14" si="0">D8-F8</f>
        <v>5519.9908852253702</v>
      </c>
      <c r="F8" s="7">
        <f>Opportunities!O50</f>
        <v>1630.5138215676307</v>
      </c>
      <c r="G8" s="7">
        <v>0</v>
      </c>
      <c r="H8" s="6">
        <f t="shared" ref="H8:H15" si="1">F8/$D$24</f>
        <v>0.10485830802190099</v>
      </c>
      <c r="I8" s="97"/>
      <c r="J8" s="25"/>
      <c r="K8" s="213"/>
      <c r="L8" s="214" t="str">
        <f t="shared" ref="L8:M23" si="2">C8</f>
        <v>halls</v>
      </c>
      <c r="M8" s="214">
        <f>D8</f>
        <v>7150.5047067930009</v>
      </c>
      <c r="N8" s="214">
        <f t="shared" ref="N8:N21" si="3">M8-O8</f>
        <v>5519.9908852253702</v>
      </c>
      <c r="O8" s="214">
        <f>SUMIF('Selected opps'!$C$15:$C$114,L8,'Selected opps'!$M$15:$M$114)</f>
        <v>1630.5138215676307</v>
      </c>
      <c r="P8" s="214">
        <v>0</v>
      </c>
      <c r="Q8" s="215">
        <f>O8/$D$24</f>
        <v>0.10485830802190099</v>
      </c>
      <c r="R8" s="200"/>
      <c r="S8" s="21"/>
    </row>
    <row r="9" spans="1:19" ht="15">
      <c r="A9" s="20"/>
      <c r="B9" s="98"/>
      <c r="C9" s="7" t="str">
        <f>Baseline!C24</f>
        <v>Buildings Category 2</v>
      </c>
      <c r="D9" s="7">
        <f>Baseline!H24</f>
        <v>6300.9920000000002</v>
      </c>
      <c r="E9" s="7">
        <f t="shared" si="0"/>
        <v>5996.0707285454546</v>
      </c>
      <c r="F9" s="7">
        <f>Opportunities!O93</f>
        <v>304.92127145454549</v>
      </c>
      <c r="G9" s="7">
        <v>0</v>
      </c>
      <c r="H9" s="6">
        <f t="shared" si="1"/>
        <v>1.960948026424578E-2</v>
      </c>
      <c r="I9" s="97"/>
      <c r="J9" s="25"/>
      <c r="K9" s="213"/>
      <c r="L9" s="214" t="str">
        <f t="shared" si="2"/>
        <v>Buildings Category 2</v>
      </c>
      <c r="M9" s="214">
        <f t="shared" si="2"/>
        <v>6300.9920000000002</v>
      </c>
      <c r="N9" s="214">
        <f t="shared" si="3"/>
        <v>5996.0707285454546</v>
      </c>
      <c r="O9" s="214">
        <f>SUMIF('Selected opps'!$C$15:$C$114,L9,'Selected opps'!$M$15:$M$114)</f>
        <v>304.92127145454549</v>
      </c>
      <c r="P9" s="214">
        <v>0</v>
      </c>
      <c r="Q9" s="215">
        <f t="shared" ref="Q9:Q21" si="4">O9/$D$24</f>
        <v>1.960948026424578E-2</v>
      </c>
      <c r="R9" s="200"/>
      <c r="S9" s="21"/>
    </row>
    <row r="10" spans="1:19" ht="15">
      <c r="A10" s="20"/>
      <c r="B10" s="98"/>
      <c r="C10" s="7" t="str">
        <f>Baseline!C25</f>
        <v>Buildings Category 3</v>
      </c>
      <c r="D10" s="7">
        <f>Baseline!H25</f>
        <v>2098.1898400000005</v>
      </c>
      <c r="E10" s="7">
        <f t="shared" si="0"/>
        <v>2098.1898400000005</v>
      </c>
      <c r="F10" s="7">
        <f>Opportunities!O136</f>
        <v>0</v>
      </c>
      <c r="G10" s="7">
        <v>0</v>
      </c>
      <c r="H10" s="6">
        <f t="shared" si="1"/>
        <v>0</v>
      </c>
      <c r="I10" s="97"/>
      <c r="J10" s="25"/>
      <c r="K10" s="213"/>
      <c r="L10" s="214" t="str">
        <f t="shared" si="2"/>
        <v>Buildings Category 3</v>
      </c>
      <c r="M10" s="214">
        <f t="shared" si="2"/>
        <v>2098.1898400000005</v>
      </c>
      <c r="N10" s="214">
        <f t="shared" si="3"/>
        <v>2098.1898400000005</v>
      </c>
      <c r="O10" s="214">
        <f>SUMIF('Selected opps'!$C$15:$C$114,L10,'Selected opps'!$M$15:$M$114)</f>
        <v>0</v>
      </c>
      <c r="P10" s="214">
        <v>0</v>
      </c>
      <c r="Q10" s="215">
        <f t="shared" si="4"/>
        <v>0</v>
      </c>
      <c r="R10" s="200"/>
      <c r="S10" s="21"/>
    </row>
    <row r="11" spans="1:19" ht="15">
      <c r="A11" s="20"/>
      <c r="B11" s="98"/>
      <c r="C11" s="7" t="str">
        <f>Baseline!C26</f>
        <v>Buildings Category 4</v>
      </c>
      <c r="D11" s="7">
        <f>Baseline!H26</f>
        <v>0</v>
      </c>
      <c r="E11" s="7">
        <f t="shared" si="0"/>
        <v>0</v>
      </c>
      <c r="F11" s="7">
        <f>Opportunities!O179</f>
        <v>0</v>
      </c>
      <c r="G11" s="7">
        <v>0</v>
      </c>
      <c r="H11" s="6">
        <f t="shared" si="1"/>
        <v>0</v>
      </c>
      <c r="I11" s="97"/>
      <c r="J11" s="25"/>
      <c r="K11" s="213"/>
      <c r="L11" s="214" t="str">
        <f t="shared" si="2"/>
        <v>Buildings Category 4</v>
      </c>
      <c r="M11" s="214">
        <f t="shared" si="2"/>
        <v>0</v>
      </c>
      <c r="N11" s="214">
        <f t="shared" si="3"/>
        <v>0</v>
      </c>
      <c r="O11" s="214">
        <f>SUMIF('Selected opps'!$C$15:$C$114,L11,'Selected opps'!$M$15:$M$114)</f>
        <v>0</v>
      </c>
      <c r="P11" s="214">
        <v>0</v>
      </c>
      <c r="Q11" s="215">
        <f t="shared" si="4"/>
        <v>0</v>
      </c>
      <c r="R11" s="200"/>
      <c r="S11" s="21"/>
    </row>
    <row r="12" spans="1:19" ht="15">
      <c r="A12" s="20"/>
      <c r="B12" s="98"/>
      <c r="C12" s="7" t="str">
        <f>Baseline!C27</f>
        <v>Buildings Category 5</v>
      </c>
      <c r="D12" s="7">
        <f>Baseline!H27</f>
        <v>0</v>
      </c>
      <c r="E12" s="7">
        <f t="shared" si="0"/>
        <v>0</v>
      </c>
      <c r="F12" s="7">
        <f>Opportunities!O222</f>
        <v>0</v>
      </c>
      <c r="G12" s="7">
        <v>0</v>
      </c>
      <c r="H12" s="6">
        <f t="shared" si="1"/>
        <v>0</v>
      </c>
      <c r="I12" s="97"/>
      <c r="J12" s="25"/>
      <c r="K12" s="213"/>
      <c r="L12" s="214" t="str">
        <f t="shared" si="2"/>
        <v>Buildings Category 5</v>
      </c>
      <c r="M12" s="214">
        <f t="shared" si="2"/>
        <v>0</v>
      </c>
      <c r="N12" s="214">
        <f t="shared" si="3"/>
        <v>0</v>
      </c>
      <c r="O12" s="214">
        <f>SUMIF('Selected opps'!$C$15:$C$114,L12,'Selected opps'!$M$15:$M$114)</f>
        <v>0</v>
      </c>
      <c r="P12" s="214">
        <v>0</v>
      </c>
      <c r="Q12" s="215">
        <f t="shared" si="4"/>
        <v>0</v>
      </c>
      <c r="R12" s="200"/>
      <c r="S12" s="21"/>
    </row>
    <row r="13" spans="1:19" ht="15">
      <c r="A13" s="20"/>
      <c r="B13" s="98"/>
      <c r="C13" s="7" t="str">
        <f>Baseline!C28</f>
        <v>Buildings Category 6</v>
      </c>
      <c r="D13" s="7">
        <f>Baseline!H28</f>
        <v>0</v>
      </c>
      <c r="E13" s="7">
        <f t="shared" si="0"/>
        <v>0</v>
      </c>
      <c r="F13" s="7">
        <f>Opportunities!O265</f>
        <v>0</v>
      </c>
      <c r="G13" s="7">
        <v>0</v>
      </c>
      <c r="H13" s="6">
        <f t="shared" si="1"/>
        <v>0</v>
      </c>
      <c r="I13" s="97"/>
      <c r="J13" s="25"/>
      <c r="K13" s="213"/>
      <c r="L13" s="214" t="str">
        <f t="shared" si="2"/>
        <v>Buildings Category 6</v>
      </c>
      <c r="M13" s="214">
        <f t="shared" si="2"/>
        <v>0</v>
      </c>
      <c r="N13" s="214">
        <f t="shared" si="3"/>
        <v>0</v>
      </c>
      <c r="O13" s="214">
        <f>SUMIF('Selected opps'!$C$15:$C$114,L13,'Selected opps'!$M$15:$M$114)</f>
        <v>0</v>
      </c>
      <c r="P13" s="214">
        <v>0</v>
      </c>
      <c r="Q13" s="215">
        <f t="shared" si="4"/>
        <v>0</v>
      </c>
      <c r="R13" s="200"/>
      <c r="S13" s="21"/>
    </row>
    <row r="14" spans="1:19" ht="15">
      <c r="A14" s="20"/>
      <c r="B14" s="98"/>
      <c r="C14" s="7" t="str">
        <f>Baseline!C29</f>
        <v>Buildings Category 7</v>
      </c>
      <c r="D14" s="7">
        <f>Baseline!H29</f>
        <v>0</v>
      </c>
      <c r="E14" s="7">
        <f t="shared" si="0"/>
        <v>0</v>
      </c>
      <c r="F14" s="7">
        <f>Opportunities!O307</f>
        <v>0</v>
      </c>
      <c r="G14" s="7">
        <v>0</v>
      </c>
      <c r="H14" s="6">
        <f>F14/$D$24</f>
        <v>0</v>
      </c>
      <c r="I14" s="97"/>
      <c r="J14" s="25"/>
      <c r="K14" s="213"/>
      <c r="L14" s="214" t="str">
        <f t="shared" si="2"/>
        <v>Buildings Category 7</v>
      </c>
      <c r="M14" s="214">
        <f t="shared" si="2"/>
        <v>0</v>
      </c>
      <c r="N14" s="214">
        <f t="shared" si="3"/>
        <v>0</v>
      </c>
      <c r="O14" s="214">
        <f>SUMIF('Selected opps'!$C$15:$C$114,L14,'Selected opps'!$M$15:$M$114)</f>
        <v>0</v>
      </c>
      <c r="P14" s="214">
        <v>0</v>
      </c>
      <c r="Q14" s="215">
        <f t="shared" si="4"/>
        <v>0</v>
      </c>
      <c r="R14" s="200"/>
      <c r="S14" s="21"/>
    </row>
    <row r="15" spans="1:19" ht="12" customHeight="1">
      <c r="A15" s="20"/>
      <c r="B15" s="98"/>
      <c r="C15" s="7" t="str">
        <f>Baseline!C55</f>
        <v>Transport Category 1</v>
      </c>
      <c r="D15" s="7">
        <f>Baseline!G55/1000</f>
        <v>0</v>
      </c>
      <c r="E15" s="7">
        <f t="shared" ref="E15:E23" si="5">D15-F15</f>
        <v>0</v>
      </c>
      <c r="F15" s="7">
        <f>Opportunities!O329</f>
        <v>0</v>
      </c>
      <c r="G15" s="7">
        <v>0</v>
      </c>
      <c r="H15" s="6">
        <f t="shared" si="1"/>
        <v>0</v>
      </c>
      <c r="I15" s="97"/>
      <c r="J15" s="25"/>
      <c r="K15" s="213"/>
      <c r="L15" s="214" t="str">
        <f t="shared" si="2"/>
        <v>Transport Category 1</v>
      </c>
      <c r="M15" s="214">
        <f t="shared" si="2"/>
        <v>0</v>
      </c>
      <c r="N15" s="214">
        <f t="shared" si="3"/>
        <v>0</v>
      </c>
      <c r="O15" s="214">
        <f>SUMIF('Selected opps'!$C$15:$C$114,L15,'Selected opps'!$M$15:$M$114)</f>
        <v>0</v>
      </c>
      <c r="P15" s="214">
        <v>0</v>
      </c>
      <c r="Q15" s="215">
        <f t="shared" si="4"/>
        <v>0</v>
      </c>
      <c r="R15" s="200"/>
      <c r="S15" s="21"/>
    </row>
    <row r="16" spans="1:19" ht="12" customHeight="1">
      <c r="A16" s="20"/>
      <c r="B16" s="98"/>
      <c r="C16" s="7" t="str">
        <f>Baseline!C56</f>
        <v>business Air</v>
      </c>
      <c r="D16" s="7">
        <f>Baseline!G56/1000</f>
        <v>0</v>
      </c>
      <c r="E16" s="7">
        <f t="shared" si="5"/>
        <v>0</v>
      </c>
      <c r="F16" s="7">
        <f>Opportunities!O347</f>
        <v>0</v>
      </c>
      <c r="G16" s="7">
        <v>0</v>
      </c>
      <c r="H16" s="6">
        <f t="shared" ref="H16:H21" si="6">F16/$D$24</f>
        <v>0</v>
      </c>
      <c r="I16" s="97"/>
      <c r="J16" s="25"/>
      <c r="K16" s="213"/>
      <c r="L16" s="214" t="str">
        <f t="shared" si="2"/>
        <v>business Air</v>
      </c>
      <c r="M16" s="214">
        <f t="shared" si="2"/>
        <v>0</v>
      </c>
      <c r="N16" s="214">
        <f t="shared" si="3"/>
        <v>0</v>
      </c>
      <c r="O16" s="214">
        <f>SUMIF('Selected opps'!$C$15:$C$114,L16,'Selected opps'!$M$15:$M$114)</f>
        <v>0</v>
      </c>
      <c r="P16" s="214">
        <v>0</v>
      </c>
      <c r="Q16" s="215">
        <f t="shared" si="4"/>
        <v>0</v>
      </c>
      <c r="R16" s="200"/>
      <c r="S16" s="21"/>
    </row>
    <row r="17" spans="1:19" ht="12" customHeight="1">
      <c r="A17" s="20"/>
      <c r="B17" s="98"/>
      <c r="C17" s="7" t="str">
        <f>Baseline!C57</f>
        <v>Transport Category 3</v>
      </c>
      <c r="D17" s="7">
        <f>Baseline!G57/1000</f>
        <v>0</v>
      </c>
      <c r="E17" s="7">
        <f t="shared" si="5"/>
        <v>0</v>
      </c>
      <c r="F17" s="7">
        <f>Opportunities!O365</f>
        <v>0</v>
      </c>
      <c r="G17" s="7">
        <v>0</v>
      </c>
      <c r="H17" s="6">
        <f t="shared" si="6"/>
        <v>0</v>
      </c>
      <c r="I17" s="97"/>
      <c r="J17" s="25"/>
      <c r="K17" s="213"/>
      <c r="L17" s="214" t="str">
        <f t="shared" si="2"/>
        <v>Transport Category 3</v>
      </c>
      <c r="M17" s="214">
        <f t="shared" si="2"/>
        <v>0</v>
      </c>
      <c r="N17" s="214">
        <f t="shared" si="3"/>
        <v>0</v>
      </c>
      <c r="O17" s="214">
        <f>SUMIF('Selected opps'!$C$15:$C$114,L17,'Selected opps'!$M$15:$M$114)</f>
        <v>0</v>
      </c>
      <c r="P17" s="214">
        <v>0</v>
      </c>
      <c r="Q17" s="215">
        <f t="shared" si="4"/>
        <v>0</v>
      </c>
      <c r="R17" s="200"/>
      <c r="S17" s="21"/>
    </row>
    <row r="18" spans="1:19" ht="12" customHeight="1">
      <c r="A18" s="20"/>
      <c r="B18" s="98"/>
      <c r="C18" s="7" t="str">
        <f>Baseline!C58</f>
        <v>Transport Category 4</v>
      </c>
      <c r="D18" s="7">
        <f>Baseline!G58/1000</f>
        <v>0</v>
      </c>
      <c r="E18" s="7">
        <f t="shared" si="5"/>
        <v>0</v>
      </c>
      <c r="F18" s="7">
        <f>Opportunities!O383</f>
        <v>0</v>
      </c>
      <c r="G18" s="7">
        <v>0</v>
      </c>
      <c r="H18" s="6">
        <f t="shared" si="6"/>
        <v>0</v>
      </c>
      <c r="I18" s="97"/>
      <c r="J18" s="25"/>
      <c r="K18" s="213"/>
      <c r="L18" s="214" t="str">
        <f t="shared" si="2"/>
        <v>Transport Category 4</v>
      </c>
      <c r="M18" s="214">
        <f t="shared" si="2"/>
        <v>0</v>
      </c>
      <c r="N18" s="214">
        <f t="shared" si="3"/>
        <v>0</v>
      </c>
      <c r="O18" s="214">
        <f>SUMIF('Selected opps'!$C$15:$C$114,L18,'Selected opps'!$M$15:$M$114)</f>
        <v>0</v>
      </c>
      <c r="P18" s="214">
        <v>0</v>
      </c>
      <c r="Q18" s="215">
        <f t="shared" si="4"/>
        <v>0</v>
      </c>
      <c r="R18" s="200"/>
      <c r="S18" s="21"/>
    </row>
    <row r="19" spans="1:19" ht="12" customHeight="1">
      <c r="A19" s="20"/>
      <c r="B19" s="98"/>
      <c r="C19" s="7" t="str">
        <f>Baseline!C59</f>
        <v>Transport Category 5</v>
      </c>
      <c r="D19" s="7">
        <f>Baseline!G59/1000</f>
        <v>0</v>
      </c>
      <c r="E19" s="7">
        <f t="shared" si="5"/>
        <v>0</v>
      </c>
      <c r="F19" s="7">
        <f>Opportunities!O401</f>
        <v>0</v>
      </c>
      <c r="G19" s="7">
        <v>0</v>
      </c>
      <c r="H19" s="6">
        <f t="shared" si="6"/>
        <v>0</v>
      </c>
      <c r="I19" s="97"/>
      <c r="J19" s="25"/>
      <c r="K19" s="213"/>
      <c r="L19" s="214" t="str">
        <f t="shared" si="2"/>
        <v>Transport Category 5</v>
      </c>
      <c r="M19" s="214">
        <f t="shared" si="2"/>
        <v>0</v>
      </c>
      <c r="N19" s="214">
        <f t="shared" si="3"/>
        <v>0</v>
      </c>
      <c r="O19" s="214">
        <f>SUMIF('Selected opps'!$C$15:$C$114,L19,'Selected opps'!$M$15:$M$114)</f>
        <v>0</v>
      </c>
      <c r="P19" s="214">
        <v>0</v>
      </c>
      <c r="Q19" s="215">
        <f t="shared" si="4"/>
        <v>0</v>
      </c>
      <c r="R19" s="200"/>
      <c r="S19" s="21"/>
    </row>
    <row r="20" spans="1:19" ht="12" customHeight="1">
      <c r="A20" s="20"/>
      <c r="B20" s="98"/>
      <c r="C20" s="7" t="str">
        <f>Baseline!C60</f>
        <v>Transport Category 6</v>
      </c>
      <c r="D20" s="7">
        <f>Baseline!G60/1000</f>
        <v>0</v>
      </c>
      <c r="E20" s="7">
        <f t="shared" si="5"/>
        <v>0</v>
      </c>
      <c r="F20" s="7">
        <f>Opportunities!O419</f>
        <v>0</v>
      </c>
      <c r="G20" s="7">
        <v>0</v>
      </c>
      <c r="H20" s="6">
        <f t="shared" si="6"/>
        <v>0</v>
      </c>
      <c r="I20" s="97"/>
      <c r="J20" s="25"/>
      <c r="K20" s="213"/>
      <c r="L20" s="214" t="str">
        <f t="shared" si="2"/>
        <v>Transport Category 6</v>
      </c>
      <c r="M20" s="214">
        <f t="shared" si="2"/>
        <v>0</v>
      </c>
      <c r="N20" s="214">
        <f t="shared" si="3"/>
        <v>0</v>
      </c>
      <c r="O20" s="214">
        <f>SUMIF('Selected opps'!$C$15:$C$114,L20,'Selected opps'!$M$15:$M$114)</f>
        <v>0</v>
      </c>
      <c r="P20" s="214">
        <v>0</v>
      </c>
      <c r="Q20" s="215">
        <f t="shared" si="4"/>
        <v>0</v>
      </c>
      <c r="R20" s="200"/>
      <c r="S20" s="21"/>
    </row>
    <row r="21" spans="1:19" ht="12" customHeight="1">
      <c r="A21" s="20"/>
      <c r="B21" s="98"/>
      <c r="C21" s="7" t="str">
        <f>Baseline!C61</f>
        <v>Transport Category 7</v>
      </c>
      <c r="D21" s="7">
        <f>Baseline!G61/1000</f>
        <v>0</v>
      </c>
      <c r="E21" s="7">
        <f t="shared" si="5"/>
        <v>0</v>
      </c>
      <c r="F21" s="7">
        <f>Opportunities!O437</f>
        <v>0</v>
      </c>
      <c r="G21" s="7">
        <v>0</v>
      </c>
      <c r="H21" s="6">
        <f t="shared" si="6"/>
        <v>0</v>
      </c>
      <c r="I21" s="97"/>
      <c r="J21" s="25"/>
      <c r="K21" s="213"/>
      <c r="L21" s="214" t="str">
        <f t="shared" si="2"/>
        <v>Transport Category 7</v>
      </c>
      <c r="M21" s="214">
        <f t="shared" si="2"/>
        <v>0</v>
      </c>
      <c r="N21" s="214">
        <f t="shared" si="3"/>
        <v>0</v>
      </c>
      <c r="O21" s="214">
        <f>SUMIF('Selected opps'!$C$15:$C$114,L21,'Selected opps'!$M$15:$M$114)</f>
        <v>0</v>
      </c>
      <c r="P21" s="214">
        <v>0</v>
      </c>
      <c r="Q21" s="215">
        <f t="shared" si="4"/>
        <v>0</v>
      </c>
      <c r="R21" s="200"/>
      <c r="S21" s="21"/>
    </row>
    <row r="22" spans="1:19" ht="12" customHeight="1">
      <c r="A22" s="20"/>
      <c r="B22" s="98"/>
      <c r="C22" s="7" t="s">
        <v>78</v>
      </c>
      <c r="D22" s="7" t="s">
        <v>79</v>
      </c>
      <c r="E22" s="7" t="s">
        <v>79</v>
      </c>
      <c r="F22" s="7">
        <f>Opportunities!O449</f>
        <v>0</v>
      </c>
      <c r="G22" s="7">
        <v>0</v>
      </c>
      <c r="H22" s="6">
        <f>F22/$D$24</f>
        <v>0</v>
      </c>
      <c r="I22" s="97"/>
      <c r="J22" s="25"/>
      <c r="K22" s="213"/>
      <c r="L22" s="214" t="str">
        <f t="shared" si="2"/>
        <v>Renewables</v>
      </c>
      <c r="M22" s="214" t="str">
        <f t="shared" si="2"/>
        <v>N/A</v>
      </c>
      <c r="N22" s="214" t="s">
        <v>79</v>
      </c>
      <c r="O22" s="214">
        <f>SUMIF('Selected opps'!$C$15:$C$114,L22,'Selected opps'!$M$15:$M$114)</f>
        <v>0</v>
      </c>
      <c r="P22" s="214">
        <v>0</v>
      </c>
      <c r="Q22" s="215">
        <f>O22/$D$24</f>
        <v>0</v>
      </c>
      <c r="R22" s="200"/>
      <c r="S22" s="21"/>
    </row>
    <row r="23" spans="1:19" ht="25.5">
      <c r="A23" s="20"/>
      <c r="B23" s="98"/>
      <c r="C23" s="7" t="s">
        <v>181</v>
      </c>
      <c r="D23" s="7">
        <f>Baseline!G63/1000+Baseline!H32</f>
        <v>0</v>
      </c>
      <c r="E23" s="7">
        <f t="shared" si="5"/>
        <v>0</v>
      </c>
      <c r="F23" s="7">
        <v>0</v>
      </c>
      <c r="G23" s="7">
        <v>0</v>
      </c>
      <c r="H23" s="6">
        <f>F23/$D$24</f>
        <v>0</v>
      </c>
      <c r="I23" s="97"/>
      <c r="J23" s="25"/>
      <c r="K23" s="213"/>
      <c r="L23" s="214" t="str">
        <f>C23</f>
        <v>Demand not considered</v>
      </c>
      <c r="M23" s="214">
        <f t="shared" si="2"/>
        <v>0</v>
      </c>
      <c r="N23" s="214">
        <f>M23-O23</f>
        <v>0</v>
      </c>
      <c r="O23" s="214">
        <v>0</v>
      </c>
      <c r="P23" s="214">
        <v>0</v>
      </c>
      <c r="Q23" s="215">
        <f>O23/$D$24</f>
        <v>0</v>
      </c>
      <c r="R23" s="200"/>
      <c r="S23" s="21"/>
    </row>
    <row r="24" spans="1:19" s="15" customFormat="1">
      <c r="A24" s="88"/>
      <c r="B24" s="99"/>
      <c r="C24" s="9" t="s">
        <v>3</v>
      </c>
      <c r="D24" s="9">
        <f>SUM(D8:D23)</f>
        <v>15549.686546793002</v>
      </c>
      <c r="E24" s="9">
        <f>D24-F24</f>
        <v>13614.251453770827</v>
      </c>
      <c r="F24" s="9">
        <f>SUM(F8:F23)</f>
        <v>1935.4350930221763</v>
      </c>
      <c r="G24" s="9">
        <v>0</v>
      </c>
      <c r="H24" s="11">
        <f>F24/$D$24</f>
        <v>0.12446778828614678</v>
      </c>
      <c r="I24" s="100"/>
      <c r="J24" s="104"/>
      <c r="K24" s="210"/>
      <c r="L24" s="216" t="s">
        <v>3</v>
      </c>
      <c r="M24" s="216">
        <f>SUM(M8:M23)</f>
        <v>15549.686546793002</v>
      </c>
      <c r="N24" s="216">
        <f>M24-O24</f>
        <v>13614.251453770827</v>
      </c>
      <c r="O24" s="216">
        <f>SUM(O8:O23)</f>
        <v>1935.4350930221763</v>
      </c>
      <c r="P24" s="216">
        <v>0</v>
      </c>
      <c r="Q24" s="217">
        <f>O24/$D$24</f>
        <v>0.12446778828614678</v>
      </c>
      <c r="R24" s="218"/>
      <c r="S24" s="24"/>
    </row>
    <row r="25" spans="1:19" ht="12" customHeight="1">
      <c r="A25" s="20"/>
      <c r="B25" s="101"/>
      <c r="C25" s="23"/>
      <c r="D25" s="87"/>
      <c r="E25" s="87"/>
      <c r="F25" s="87"/>
      <c r="G25" s="87"/>
      <c r="H25" s="87"/>
      <c r="I25" s="94"/>
      <c r="J25" s="25"/>
      <c r="K25" s="213"/>
      <c r="L25" s="194"/>
      <c r="M25" s="219"/>
      <c r="N25" s="219"/>
      <c r="O25" s="219"/>
      <c r="P25" s="219"/>
      <c r="Q25" s="219"/>
      <c r="R25" s="200"/>
      <c r="S25" s="21"/>
    </row>
    <row r="26" spans="1:19" ht="24.75" customHeight="1">
      <c r="A26" s="20"/>
      <c r="B26" s="102"/>
      <c r="C26" s="86"/>
      <c r="D26" s="1" t="str">
        <f>Baseline!$H$22</f>
        <v>Baseline emissions (tCO2/yr)</v>
      </c>
      <c r="E26" s="1" t="s">
        <v>74</v>
      </c>
      <c r="F26" s="1" t="s">
        <v>75</v>
      </c>
      <c r="G26" s="1" t="s">
        <v>76</v>
      </c>
      <c r="H26" s="1" t="s">
        <v>77</v>
      </c>
      <c r="I26" s="97"/>
      <c r="J26" s="25"/>
      <c r="K26" s="199"/>
      <c r="L26" s="220"/>
      <c r="M26" s="212" t="str">
        <f>Baseline!$H$22</f>
        <v>Baseline emissions (tCO2/yr)</v>
      </c>
      <c r="N26" s="212" t="s">
        <v>74</v>
      </c>
      <c r="O26" s="212" t="s">
        <v>75</v>
      </c>
      <c r="P26" s="212" t="s">
        <v>76</v>
      </c>
      <c r="Q26" s="212" t="s">
        <v>77</v>
      </c>
      <c r="R26" s="200"/>
      <c r="S26" s="21"/>
    </row>
    <row r="27" spans="1:19">
      <c r="A27" s="20"/>
      <c r="B27" s="103"/>
      <c r="C27" s="7" t="s">
        <v>2</v>
      </c>
      <c r="D27" s="7">
        <f>SUM(D8:D14)</f>
        <v>15549.686546793002</v>
      </c>
      <c r="E27" s="7">
        <f>SUM(E8:E14)</f>
        <v>13614.251453770825</v>
      </c>
      <c r="F27" s="7">
        <f>SUM(F8:F14)</f>
        <v>1935.4350930221763</v>
      </c>
      <c r="G27" s="7">
        <v>0</v>
      </c>
      <c r="H27" s="6">
        <f>F27/$D$31</f>
        <v>0.12446778828614678</v>
      </c>
      <c r="I27" s="97"/>
      <c r="J27" s="25"/>
      <c r="K27" s="199"/>
      <c r="L27" s="214" t="s">
        <v>2</v>
      </c>
      <c r="M27" s="214">
        <f>SUM(M8:M14)</f>
        <v>15549.686546793002</v>
      </c>
      <c r="N27" s="214">
        <f>SUM(N8:N14)</f>
        <v>13614.251453770825</v>
      </c>
      <c r="O27" s="214">
        <f>SUM(O8:O14)</f>
        <v>1935.4350930221763</v>
      </c>
      <c r="P27" s="214">
        <v>0</v>
      </c>
      <c r="Q27" s="215">
        <f>O27/$D$31</f>
        <v>0.12446778828614678</v>
      </c>
      <c r="R27" s="200"/>
      <c r="S27" s="21"/>
    </row>
    <row r="28" spans="1:19">
      <c r="A28" s="20"/>
      <c r="B28" s="103"/>
      <c r="C28" s="7" t="s">
        <v>57</v>
      </c>
      <c r="D28" s="7">
        <f>SUM(D15:D21)</f>
        <v>0</v>
      </c>
      <c r="E28" s="7">
        <f>SUM(E15:E21)</f>
        <v>0</v>
      </c>
      <c r="F28" s="7">
        <f>SUM(F15:F21)</f>
        <v>0</v>
      </c>
      <c r="G28" s="7">
        <v>0</v>
      </c>
      <c r="H28" s="6">
        <f>F28/$D$31</f>
        <v>0</v>
      </c>
      <c r="I28" s="97"/>
      <c r="J28" s="25"/>
      <c r="K28" s="199"/>
      <c r="L28" s="214" t="s">
        <v>57</v>
      </c>
      <c r="M28" s="214">
        <f>SUM(M15:M21)</f>
        <v>0</v>
      </c>
      <c r="N28" s="214">
        <f>SUM(N15:N21)</f>
        <v>0</v>
      </c>
      <c r="O28" s="214">
        <f>SUM(O15:O21)</f>
        <v>0</v>
      </c>
      <c r="P28" s="214">
        <v>0</v>
      </c>
      <c r="Q28" s="215">
        <f>O28/$D$31</f>
        <v>0</v>
      </c>
      <c r="R28" s="200"/>
      <c r="S28" s="21"/>
    </row>
    <row r="29" spans="1:19">
      <c r="A29" s="20"/>
      <c r="B29" s="103"/>
      <c r="C29" s="7" t="s">
        <v>78</v>
      </c>
      <c r="D29" s="7" t="s">
        <v>79</v>
      </c>
      <c r="E29" s="7" t="s">
        <v>79</v>
      </c>
      <c r="F29" s="7">
        <f>F22</f>
        <v>0</v>
      </c>
      <c r="G29" s="7">
        <v>0</v>
      </c>
      <c r="H29" s="6">
        <f>F29/$D$31</f>
        <v>0</v>
      </c>
      <c r="I29" s="97"/>
      <c r="J29" s="25"/>
      <c r="K29" s="199"/>
      <c r="L29" s="214" t="s">
        <v>78</v>
      </c>
      <c r="M29" s="214" t="s">
        <v>79</v>
      </c>
      <c r="N29" s="214" t="s">
        <v>79</v>
      </c>
      <c r="O29" s="214">
        <f>O22</f>
        <v>0</v>
      </c>
      <c r="P29" s="214">
        <v>0</v>
      </c>
      <c r="Q29" s="215">
        <f>O29/$D$31</f>
        <v>0</v>
      </c>
      <c r="R29" s="200"/>
      <c r="S29" s="21"/>
    </row>
    <row r="30" spans="1:19" ht="25.5">
      <c r="A30" s="20"/>
      <c r="B30" s="103"/>
      <c r="C30" s="7" t="s">
        <v>182</v>
      </c>
      <c r="D30" s="7">
        <f>D23</f>
        <v>0</v>
      </c>
      <c r="E30" s="7">
        <f>E23</f>
        <v>0</v>
      </c>
      <c r="F30" s="7">
        <f>F23</f>
        <v>0</v>
      </c>
      <c r="G30" s="7">
        <v>0</v>
      </c>
      <c r="H30" s="6">
        <f>F30/$D$31</f>
        <v>0</v>
      </c>
      <c r="I30" s="97"/>
      <c r="J30" s="25"/>
      <c r="K30" s="199"/>
      <c r="L30" s="214" t="str">
        <f>C30</f>
        <v xml:space="preserve">Demand not considered </v>
      </c>
      <c r="M30" s="214">
        <f>M23</f>
        <v>0</v>
      </c>
      <c r="N30" s="214">
        <f>N23</f>
        <v>0</v>
      </c>
      <c r="O30" s="214">
        <f>O23</f>
        <v>0</v>
      </c>
      <c r="P30" s="214">
        <v>0</v>
      </c>
      <c r="Q30" s="215">
        <f>O30/$D$31</f>
        <v>0</v>
      </c>
      <c r="R30" s="200"/>
      <c r="S30" s="21"/>
    </row>
    <row r="31" spans="1:19">
      <c r="A31" s="20"/>
      <c r="B31" s="103"/>
      <c r="C31" s="9" t="s">
        <v>3</v>
      </c>
      <c r="D31" s="9">
        <f>D27+D28+D30</f>
        <v>15549.686546793002</v>
      </c>
      <c r="E31" s="9">
        <f>D31-F31</f>
        <v>13614.251453770827</v>
      </c>
      <c r="F31" s="9">
        <f>F27+F28+F29+F30</f>
        <v>1935.4350930221763</v>
      </c>
      <c r="G31" s="9">
        <v>0</v>
      </c>
      <c r="H31" s="11">
        <f>F31/$D$24</f>
        <v>0.12446778828614678</v>
      </c>
      <c r="I31" s="97"/>
      <c r="J31" s="25"/>
      <c r="K31" s="199"/>
      <c r="L31" s="216" t="s">
        <v>3</v>
      </c>
      <c r="M31" s="216">
        <f>M27+M28+M30</f>
        <v>15549.686546793002</v>
      </c>
      <c r="N31" s="216">
        <f>M31-O31</f>
        <v>13614.251453770827</v>
      </c>
      <c r="O31" s="216">
        <f>O27+O28+O29+O30</f>
        <v>1935.4350930221763</v>
      </c>
      <c r="P31" s="216">
        <v>0</v>
      </c>
      <c r="Q31" s="217">
        <f>O31/$D$24</f>
        <v>0.12446778828614678</v>
      </c>
      <c r="R31" s="200"/>
      <c r="S31" s="21"/>
    </row>
    <row r="32" spans="1:19">
      <c r="A32" s="20"/>
      <c r="B32" s="102"/>
      <c r="C32" s="23"/>
      <c r="D32" s="23"/>
      <c r="E32" s="23"/>
      <c r="F32" s="23"/>
      <c r="G32" s="23"/>
      <c r="H32" s="23"/>
      <c r="I32" s="94"/>
      <c r="J32" s="25"/>
      <c r="K32" s="199"/>
      <c r="L32" s="182"/>
      <c r="M32" s="182"/>
      <c r="N32" s="182"/>
      <c r="O32" s="182"/>
      <c r="P32" s="182"/>
      <c r="Q32" s="182"/>
      <c r="R32" s="200"/>
      <c r="S32" s="21"/>
    </row>
    <row r="33" spans="1:19">
      <c r="A33" s="20"/>
      <c r="B33" s="102"/>
      <c r="I33" s="94"/>
      <c r="J33" s="25"/>
      <c r="K33" s="199"/>
      <c r="L33" s="182"/>
      <c r="M33" s="182"/>
      <c r="N33" s="182"/>
      <c r="O33" s="182"/>
      <c r="P33" s="182"/>
      <c r="Q33" s="182"/>
      <c r="R33" s="200"/>
      <c r="S33" s="21"/>
    </row>
    <row r="34" spans="1:19">
      <c r="A34" s="20"/>
      <c r="B34" s="102"/>
      <c r="I34" s="94"/>
      <c r="J34" s="25"/>
      <c r="K34" s="199"/>
      <c r="L34" s="182"/>
      <c r="M34" s="182"/>
      <c r="N34" s="182"/>
      <c r="O34" s="182"/>
      <c r="P34" s="182"/>
      <c r="Q34" s="182"/>
      <c r="R34" s="200"/>
      <c r="S34" s="21"/>
    </row>
    <row r="35" spans="1:19">
      <c r="A35" s="20"/>
      <c r="B35" s="102"/>
      <c r="I35" s="94"/>
      <c r="J35" s="25"/>
      <c r="K35" s="199"/>
      <c r="L35" s="182"/>
      <c r="M35" s="182"/>
      <c r="N35" s="182"/>
      <c r="O35" s="182"/>
      <c r="P35" s="182"/>
      <c r="Q35" s="182"/>
      <c r="R35" s="200"/>
      <c r="S35" s="21"/>
    </row>
    <row r="36" spans="1:19">
      <c r="A36" s="20"/>
      <c r="B36" s="102"/>
      <c r="I36" s="94"/>
      <c r="J36" s="25"/>
      <c r="K36" s="199"/>
      <c r="L36" s="182"/>
      <c r="M36" s="182"/>
      <c r="N36" s="182"/>
      <c r="O36" s="182"/>
      <c r="P36" s="182"/>
      <c r="Q36" s="182"/>
      <c r="R36" s="200"/>
      <c r="S36" s="21"/>
    </row>
    <row r="37" spans="1:19">
      <c r="A37" s="20"/>
      <c r="B37" s="102"/>
      <c r="I37" s="94"/>
      <c r="J37" s="25"/>
      <c r="K37" s="199"/>
      <c r="L37" s="182"/>
      <c r="M37" s="182"/>
      <c r="N37" s="182"/>
      <c r="O37" s="182"/>
      <c r="P37" s="182"/>
      <c r="Q37" s="182"/>
      <c r="R37" s="200"/>
      <c r="S37" s="21"/>
    </row>
    <row r="38" spans="1:19">
      <c r="A38" s="20"/>
      <c r="B38" s="102"/>
      <c r="I38" s="94"/>
      <c r="J38" s="25"/>
      <c r="K38" s="199"/>
      <c r="L38" s="182"/>
      <c r="M38" s="182"/>
      <c r="N38" s="182"/>
      <c r="O38" s="182"/>
      <c r="P38" s="182"/>
      <c r="Q38" s="182"/>
      <c r="R38" s="200"/>
      <c r="S38" s="21"/>
    </row>
    <row r="39" spans="1:19">
      <c r="A39" s="20"/>
      <c r="B39" s="102"/>
      <c r="H39" s="84"/>
      <c r="I39" s="94"/>
      <c r="J39" s="25"/>
      <c r="K39" s="199"/>
      <c r="L39" s="182"/>
      <c r="M39" s="182"/>
      <c r="N39" s="182"/>
      <c r="O39" s="182"/>
      <c r="P39" s="182"/>
      <c r="Q39" s="182"/>
      <c r="R39" s="200"/>
      <c r="S39" s="21"/>
    </row>
    <row r="40" spans="1:19">
      <c r="A40" s="20"/>
      <c r="B40" s="102"/>
      <c r="I40" s="94"/>
      <c r="J40" s="25"/>
      <c r="K40" s="199"/>
      <c r="L40" s="182"/>
      <c r="M40" s="182"/>
      <c r="N40" s="182"/>
      <c r="O40" s="182"/>
      <c r="P40" s="182"/>
      <c r="Q40" s="182"/>
      <c r="R40" s="200"/>
      <c r="S40" s="21"/>
    </row>
    <row r="41" spans="1:19">
      <c r="A41" s="20"/>
      <c r="B41" s="102"/>
      <c r="I41" s="94"/>
      <c r="J41" s="25"/>
      <c r="K41" s="199"/>
      <c r="L41" s="182"/>
      <c r="M41" s="182"/>
      <c r="N41" s="182"/>
      <c r="O41" s="182"/>
      <c r="P41" s="182"/>
      <c r="Q41" s="182"/>
      <c r="R41" s="200"/>
      <c r="S41" s="21"/>
    </row>
    <row r="42" spans="1:19">
      <c r="A42" s="20"/>
      <c r="B42" s="102"/>
      <c r="I42" s="94"/>
      <c r="J42" s="25"/>
      <c r="K42" s="199"/>
      <c r="L42" s="182"/>
      <c r="M42" s="182"/>
      <c r="N42" s="182"/>
      <c r="O42" s="182"/>
      <c r="P42" s="182"/>
      <c r="Q42" s="182"/>
      <c r="R42" s="200"/>
      <c r="S42" s="21"/>
    </row>
    <row r="43" spans="1:19">
      <c r="A43" s="20"/>
      <c r="B43" s="102"/>
      <c r="I43" s="94"/>
      <c r="J43" s="25"/>
      <c r="K43" s="199"/>
      <c r="L43" s="182"/>
      <c r="M43" s="182"/>
      <c r="N43" s="182"/>
      <c r="O43" s="182"/>
      <c r="P43" s="182"/>
      <c r="Q43" s="182"/>
      <c r="R43" s="200"/>
      <c r="S43" s="21"/>
    </row>
    <row r="44" spans="1:19">
      <c r="A44" s="20"/>
      <c r="B44" s="102"/>
      <c r="I44" s="94"/>
      <c r="J44" s="25"/>
      <c r="K44" s="199"/>
      <c r="L44" s="182"/>
      <c r="M44" s="182"/>
      <c r="N44" s="182"/>
      <c r="O44" s="182"/>
      <c r="P44" s="182"/>
      <c r="Q44" s="182"/>
      <c r="R44" s="200"/>
      <c r="S44" s="21"/>
    </row>
    <row r="45" spans="1:19">
      <c r="A45" s="20"/>
      <c r="B45" s="102"/>
      <c r="I45" s="94"/>
      <c r="J45" s="25"/>
      <c r="K45" s="199"/>
      <c r="L45" s="182"/>
      <c r="M45" s="182"/>
      <c r="N45" s="182"/>
      <c r="O45" s="182"/>
      <c r="P45" s="182"/>
      <c r="Q45" s="182"/>
      <c r="R45" s="200"/>
      <c r="S45" s="21"/>
    </row>
    <row r="46" spans="1:19">
      <c r="A46" s="20"/>
      <c r="B46" s="102"/>
      <c r="I46" s="94"/>
      <c r="J46" s="25"/>
      <c r="K46" s="199"/>
      <c r="L46" s="182"/>
      <c r="M46" s="182"/>
      <c r="N46" s="182"/>
      <c r="O46" s="182"/>
      <c r="P46" s="182"/>
      <c r="Q46" s="182"/>
      <c r="R46" s="200"/>
      <c r="S46" s="21"/>
    </row>
    <row r="47" spans="1:19">
      <c r="A47" s="20"/>
      <c r="B47" s="102"/>
      <c r="I47" s="94"/>
      <c r="J47" s="25"/>
      <c r="K47" s="199"/>
      <c r="L47" s="182"/>
      <c r="M47" s="182"/>
      <c r="N47" s="182"/>
      <c r="O47" s="182"/>
      <c r="P47" s="182"/>
      <c r="Q47" s="182"/>
      <c r="R47" s="200"/>
      <c r="S47" s="21"/>
    </row>
    <row r="48" spans="1:19">
      <c r="A48" s="20"/>
      <c r="B48" s="102"/>
      <c r="I48" s="94"/>
      <c r="J48" s="25"/>
      <c r="K48" s="199"/>
      <c r="L48" s="182"/>
      <c r="M48" s="182"/>
      <c r="N48" s="182"/>
      <c r="O48" s="182"/>
      <c r="P48" s="182"/>
      <c r="Q48" s="182"/>
      <c r="R48" s="200"/>
      <c r="S48" s="21"/>
    </row>
    <row r="49" spans="1:19">
      <c r="A49" s="20"/>
      <c r="B49" s="102"/>
      <c r="I49" s="94"/>
      <c r="J49" s="25"/>
      <c r="K49" s="199"/>
      <c r="L49" s="182"/>
      <c r="M49" s="182"/>
      <c r="N49" s="182"/>
      <c r="O49" s="182"/>
      <c r="P49" s="182"/>
      <c r="Q49" s="182"/>
      <c r="R49" s="200"/>
      <c r="S49" s="21"/>
    </row>
    <row r="50" spans="1:19">
      <c r="A50" s="20"/>
      <c r="B50" s="102"/>
      <c r="I50" s="94"/>
      <c r="J50" s="25"/>
      <c r="K50" s="199"/>
      <c r="L50" s="182"/>
      <c r="M50" s="182"/>
      <c r="N50" s="182"/>
      <c r="O50" s="182"/>
      <c r="P50" s="182"/>
      <c r="Q50" s="182"/>
      <c r="R50" s="200"/>
      <c r="S50" s="21"/>
    </row>
    <row r="51" spans="1:19">
      <c r="A51" s="20"/>
      <c r="B51" s="102"/>
      <c r="I51" s="94"/>
      <c r="J51" s="25"/>
      <c r="K51" s="199"/>
      <c r="L51" s="182"/>
      <c r="M51" s="182"/>
      <c r="N51" s="182"/>
      <c r="O51" s="182"/>
      <c r="P51" s="182"/>
      <c r="Q51" s="182"/>
      <c r="R51" s="200"/>
      <c r="S51" s="21"/>
    </row>
    <row r="52" spans="1:19">
      <c r="A52" s="20"/>
      <c r="B52" s="102"/>
      <c r="I52" s="94"/>
      <c r="J52" s="25"/>
      <c r="K52" s="199"/>
      <c r="L52" s="182"/>
      <c r="M52" s="182"/>
      <c r="N52" s="182"/>
      <c r="O52" s="182"/>
      <c r="P52" s="182"/>
      <c r="Q52" s="182"/>
      <c r="R52" s="200"/>
      <c r="S52" s="21"/>
    </row>
    <row r="53" spans="1:19">
      <c r="A53" s="20"/>
      <c r="B53" s="102"/>
      <c r="I53" s="94"/>
      <c r="J53" s="25"/>
      <c r="K53" s="199"/>
      <c r="L53" s="182"/>
      <c r="M53" s="182"/>
      <c r="N53" s="182"/>
      <c r="O53" s="182"/>
      <c r="P53" s="182"/>
      <c r="Q53" s="182"/>
      <c r="R53" s="200"/>
      <c r="S53" s="21"/>
    </row>
    <row r="54" spans="1:19">
      <c r="A54" s="20"/>
      <c r="B54" s="102"/>
      <c r="I54" s="94"/>
      <c r="J54" s="25"/>
      <c r="K54" s="199"/>
      <c r="L54" s="182"/>
      <c r="M54" s="182"/>
      <c r="N54" s="182"/>
      <c r="O54" s="182"/>
      <c r="P54" s="182"/>
      <c r="Q54" s="182"/>
      <c r="R54" s="200"/>
      <c r="S54" s="21"/>
    </row>
    <row r="55" spans="1:19">
      <c r="A55" s="20"/>
      <c r="B55" s="102"/>
      <c r="I55" s="94"/>
      <c r="J55" s="25"/>
      <c r="K55" s="199"/>
      <c r="L55" s="182"/>
      <c r="M55" s="182"/>
      <c r="N55" s="182"/>
      <c r="O55" s="182"/>
      <c r="P55" s="182"/>
      <c r="Q55" s="182"/>
      <c r="R55" s="200"/>
      <c r="S55" s="21"/>
    </row>
    <row r="56" spans="1:19">
      <c r="A56" s="20"/>
      <c r="B56" s="102"/>
      <c r="I56" s="94"/>
      <c r="J56" s="25"/>
      <c r="K56" s="199"/>
      <c r="L56" s="182"/>
      <c r="M56" s="182"/>
      <c r="N56" s="182"/>
      <c r="O56" s="182"/>
      <c r="P56" s="182"/>
      <c r="Q56" s="182"/>
      <c r="R56" s="200"/>
      <c r="S56" s="21"/>
    </row>
    <row r="57" spans="1:19">
      <c r="A57" s="20"/>
      <c r="B57" s="102"/>
      <c r="I57" s="94"/>
      <c r="J57" s="25"/>
      <c r="K57" s="199"/>
      <c r="L57" s="182"/>
      <c r="M57" s="182"/>
      <c r="N57" s="182"/>
      <c r="O57" s="182"/>
      <c r="P57" s="182"/>
      <c r="Q57" s="182"/>
      <c r="R57" s="200"/>
      <c r="S57" s="21"/>
    </row>
    <row r="58" spans="1:19">
      <c r="A58" s="20"/>
      <c r="B58" s="102"/>
      <c r="I58" s="94"/>
      <c r="J58" s="25"/>
      <c r="K58" s="199"/>
      <c r="L58" s="182"/>
      <c r="M58" s="182"/>
      <c r="N58" s="182"/>
      <c r="O58" s="182"/>
      <c r="P58" s="182"/>
      <c r="Q58" s="182"/>
      <c r="R58" s="200"/>
      <c r="S58" s="21"/>
    </row>
    <row r="59" spans="1:19">
      <c r="A59" s="20"/>
      <c r="B59" s="102"/>
      <c r="I59" s="94"/>
      <c r="J59" s="25"/>
      <c r="K59" s="199"/>
      <c r="L59" s="182"/>
      <c r="M59" s="182"/>
      <c r="N59" s="182"/>
      <c r="O59" s="182"/>
      <c r="P59" s="182"/>
      <c r="Q59" s="182"/>
      <c r="R59" s="200"/>
      <c r="S59" s="21"/>
    </row>
    <row r="60" spans="1:19">
      <c r="A60" s="20"/>
      <c r="B60" s="102"/>
      <c r="I60" s="94"/>
      <c r="J60" s="25"/>
      <c r="K60" s="199"/>
      <c r="L60" s="182"/>
      <c r="M60" s="182"/>
      <c r="N60" s="182"/>
      <c r="O60" s="182"/>
      <c r="P60" s="182"/>
      <c r="Q60" s="182"/>
      <c r="R60" s="200"/>
      <c r="S60" s="21"/>
    </row>
    <row r="61" spans="1:19">
      <c r="A61" s="20"/>
      <c r="B61" s="102"/>
      <c r="I61" s="94"/>
      <c r="J61" s="25"/>
      <c r="K61" s="199"/>
      <c r="L61" s="182"/>
      <c r="M61" s="182"/>
      <c r="N61" s="182"/>
      <c r="O61" s="182"/>
      <c r="P61" s="182"/>
      <c r="Q61" s="182"/>
      <c r="R61" s="200"/>
      <c r="S61" s="21"/>
    </row>
    <row r="62" spans="1:19">
      <c r="A62" s="20"/>
      <c r="B62" s="102"/>
      <c r="I62" s="94"/>
      <c r="J62" s="25"/>
      <c r="K62" s="199"/>
      <c r="L62" s="182"/>
      <c r="M62" s="182"/>
      <c r="N62" s="182"/>
      <c r="O62" s="182"/>
      <c r="P62" s="182"/>
      <c r="Q62" s="182"/>
      <c r="R62" s="200"/>
      <c r="S62" s="21"/>
    </row>
    <row r="63" spans="1:19">
      <c r="A63" s="20"/>
      <c r="B63" s="102"/>
      <c r="I63" s="94"/>
      <c r="J63" s="25"/>
      <c r="K63" s="199"/>
      <c r="L63" s="182"/>
      <c r="M63" s="182"/>
      <c r="N63" s="182"/>
      <c r="O63" s="182"/>
      <c r="P63" s="182"/>
      <c r="Q63" s="182"/>
      <c r="R63" s="200"/>
      <c r="S63" s="21"/>
    </row>
    <row r="64" spans="1:19">
      <c r="A64" s="20"/>
      <c r="B64" s="102"/>
      <c r="I64" s="94"/>
      <c r="J64" s="25"/>
      <c r="K64" s="199"/>
      <c r="L64" s="182"/>
      <c r="M64" s="182"/>
      <c r="N64" s="182"/>
      <c r="O64" s="182"/>
      <c r="P64" s="182"/>
      <c r="Q64" s="182"/>
      <c r="R64" s="200"/>
      <c r="S64" s="21"/>
    </row>
    <row r="65" spans="1:19">
      <c r="A65" s="20"/>
      <c r="B65" s="102"/>
      <c r="I65" s="94"/>
      <c r="J65" s="25"/>
      <c r="K65" s="199"/>
      <c r="L65" s="182"/>
      <c r="M65" s="182"/>
      <c r="N65" s="182"/>
      <c r="O65" s="182"/>
      <c r="P65" s="182"/>
      <c r="Q65" s="182"/>
      <c r="R65" s="200"/>
      <c r="S65" s="21"/>
    </row>
    <row r="66" spans="1:19">
      <c r="A66" s="20"/>
      <c r="B66" s="102"/>
      <c r="I66" s="94"/>
      <c r="J66" s="25"/>
      <c r="K66" s="199"/>
      <c r="L66" s="182"/>
      <c r="M66" s="182"/>
      <c r="N66" s="182"/>
      <c r="O66" s="182"/>
      <c r="P66" s="182"/>
      <c r="Q66" s="182"/>
      <c r="R66" s="200"/>
      <c r="S66" s="21"/>
    </row>
    <row r="67" spans="1:19">
      <c r="A67" s="20"/>
      <c r="B67" s="102"/>
      <c r="I67" s="94"/>
      <c r="J67" s="25"/>
      <c r="K67" s="199"/>
      <c r="L67" s="182"/>
      <c r="M67" s="182"/>
      <c r="N67" s="182"/>
      <c r="O67" s="182"/>
      <c r="P67" s="182"/>
      <c r="Q67" s="182"/>
      <c r="R67" s="200"/>
      <c r="S67" s="21"/>
    </row>
    <row r="68" spans="1:19">
      <c r="A68" s="20"/>
      <c r="B68" s="102"/>
      <c r="I68" s="94"/>
      <c r="J68" s="25"/>
      <c r="K68" s="199"/>
      <c r="L68" s="182"/>
      <c r="M68" s="182"/>
      <c r="N68" s="182"/>
      <c r="O68" s="182"/>
      <c r="P68" s="182"/>
      <c r="Q68" s="182"/>
      <c r="R68" s="200"/>
      <c r="S68" s="21"/>
    </row>
    <row r="69" spans="1:19">
      <c r="A69" s="20"/>
      <c r="B69" s="102"/>
      <c r="I69" s="94"/>
      <c r="J69" s="25"/>
      <c r="K69" s="199"/>
      <c r="L69" s="182"/>
      <c r="M69" s="182"/>
      <c r="N69" s="182"/>
      <c r="O69" s="182"/>
      <c r="P69" s="182"/>
      <c r="Q69" s="182"/>
      <c r="R69" s="200"/>
      <c r="S69" s="21"/>
    </row>
    <row r="70" spans="1:19">
      <c r="A70" s="20"/>
      <c r="B70" s="102"/>
      <c r="I70" s="94"/>
      <c r="J70" s="25"/>
      <c r="K70" s="199"/>
      <c r="L70" s="182"/>
      <c r="M70" s="182"/>
      <c r="N70" s="182"/>
      <c r="O70" s="182"/>
      <c r="P70" s="182"/>
      <c r="Q70" s="182"/>
      <c r="R70" s="200"/>
      <c r="S70" s="21"/>
    </row>
    <row r="71" spans="1:19">
      <c r="A71" s="20"/>
      <c r="B71" s="102"/>
      <c r="I71" s="94"/>
      <c r="J71" s="25"/>
      <c r="K71" s="199"/>
      <c r="L71" s="182"/>
      <c r="M71" s="182"/>
      <c r="N71" s="182"/>
      <c r="O71" s="182"/>
      <c r="P71" s="182"/>
      <c r="Q71" s="182"/>
      <c r="R71" s="200"/>
      <c r="S71" s="21"/>
    </row>
    <row r="72" spans="1:19">
      <c r="A72" s="20"/>
      <c r="B72" s="102"/>
      <c r="I72" s="94"/>
      <c r="J72" s="25"/>
      <c r="K72" s="199"/>
      <c r="L72" s="182"/>
      <c r="M72" s="182"/>
      <c r="N72" s="182"/>
      <c r="O72" s="182"/>
      <c r="P72" s="182"/>
      <c r="Q72" s="182"/>
      <c r="R72" s="200"/>
      <c r="S72" s="21"/>
    </row>
    <row r="73" spans="1:19">
      <c r="A73" s="20"/>
      <c r="B73" s="102"/>
      <c r="I73" s="94"/>
      <c r="J73" s="25"/>
      <c r="K73" s="199"/>
      <c r="L73" s="182"/>
      <c r="M73" s="182"/>
      <c r="N73" s="182"/>
      <c r="O73" s="182"/>
      <c r="P73" s="182"/>
      <c r="Q73" s="182"/>
      <c r="R73" s="200"/>
      <c r="S73" s="21"/>
    </row>
    <row r="74" spans="1:19">
      <c r="A74" s="20"/>
      <c r="B74" s="102"/>
      <c r="I74" s="94"/>
      <c r="J74" s="25"/>
      <c r="K74" s="199"/>
      <c r="L74" s="182"/>
      <c r="M74" s="182"/>
      <c r="N74" s="182"/>
      <c r="O74" s="182"/>
      <c r="P74" s="182"/>
      <c r="Q74" s="182"/>
      <c r="R74" s="200"/>
      <c r="S74" s="21"/>
    </row>
    <row r="75" spans="1:19">
      <c r="A75" s="20"/>
      <c r="B75" s="102"/>
      <c r="I75" s="94"/>
      <c r="J75" s="25"/>
      <c r="K75" s="199"/>
      <c r="L75" s="182"/>
      <c r="M75" s="182"/>
      <c r="N75" s="182"/>
      <c r="O75" s="182"/>
      <c r="P75" s="182"/>
      <c r="Q75" s="182"/>
      <c r="R75" s="200"/>
      <c r="S75" s="21"/>
    </row>
    <row r="76" spans="1:19">
      <c r="A76" s="20"/>
      <c r="B76" s="102"/>
      <c r="I76" s="94"/>
      <c r="J76" s="25"/>
      <c r="K76" s="199"/>
      <c r="L76" s="182"/>
      <c r="M76" s="182"/>
      <c r="N76" s="182"/>
      <c r="O76" s="182"/>
      <c r="P76" s="182"/>
      <c r="Q76" s="182"/>
      <c r="R76" s="200"/>
      <c r="S76" s="21"/>
    </row>
    <row r="77" spans="1:19">
      <c r="A77" s="20"/>
      <c r="B77" s="102"/>
      <c r="I77" s="94"/>
      <c r="J77" s="25"/>
      <c r="K77" s="199"/>
      <c r="L77" s="182"/>
      <c r="M77" s="182"/>
      <c r="N77" s="182"/>
      <c r="O77" s="182"/>
      <c r="P77" s="182"/>
      <c r="Q77" s="182"/>
      <c r="R77" s="200"/>
      <c r="S77" s="21"/>
    </row>
    <row r="78" spans="1:19">
      <c r="A78" s="20"/>
      <c r="B78" s="96"/>
      <c r="I78" s="94"/>
      <c r="J78" s="25"/>
      <c r="K78" s="210"/>
      <c r="L78" s="182"/>
      <c r="M78" s="182"/>
      <c r="N78" s="182"/>
      <c r="O78" s="182"/>
      <c r="P78" s="182"/>
      <c r="Q78" s="182"/>
      <c r="R78" s="200"/>
      <c r="S78" s="21"/>
    </row>
    <row r="79" spans="1:19">
      <c r="A79" s="20"/>
      <c r="B79" s="102"/>
      <c r="I79" s="94"/>
      <c r="J79" s="25"/>
      <c r="K79" s="199"/>
      <c r="L79" s="182"/>
      <c r="M79" s="182"/>
      <c r="N79" s="182"/>
      <c r="O79" s="182"/>
      <c r="P79" s="182"/>
      <c r="Q79" s="182"/>
      <c r="R79" s="200"/>
      <c r="S79" s="21"/>
    </row>
    <row r="80" spans="1:19">
      <c r="A80" s="20"/>
      <c r="B80" s="102"/>
      <c r="I80" s="94"/>
      <c r="J80" s="25"/>
      <c r="K80" s="199"/>
      <c r="L80" s="182"/>
      <c r="M80" s="182"/>
      <c r="N80" s="182"/>
      <c r="O80" s="182"/>
      <c r="P80" s="182"/>
      <c r="Q80" s="182"/>
      <c r="R80" s="200"/>
      <c r="S80" s="21"/>
    </row>
    <row r="81" spans="1:19">
      <c r="A81" s="20"/>
      <c r="B81" s="102"/>
      <c r="I81" s="94"/>
      <c r="J81" s="25"/>
      <c r="K81" s="199"/>
      <c r="L81" s="182"/>
      <c r="M81" s="182"/>
      <c r="N81" s="182"/>
      <c r="O81" s="182"/>
      <c r="P81" s="182"/>
      <c r="Q81" s="182"/>
      <c r="R81" s="200"/>
      <c r="S81" s="21"/>
    </row>
    <row r="82" spans="1:19">
      <c r="A82" s="20"/>
      <c r="B82" s="102"/>
      <c r="I82" s="94"/>
      <c r="J82" s="25"/>
      <c r="K82" s="199"/>
      <c r="L82" s="182"/>
      <c r="M82" s="182"/>
      <c r="N82" s="182"/>
      <c r="O82" s="182"/>
      <c r="P82" s="182"/>
      <c r="Q82" s="182"/>
      <c r="R82" s="200"/>
      <c r="S82" s="21"/>
    </row>
    <row r="83" spans="1:19">
      <c r="A83" s="20"/>
      <c r="B83" s="102"/>
      <c r="I83" s="94"/>
      <c r="J83" s="25"/>
      <c r="K83" s="199"/>
      <c r="L83" s="182"/>
      <c r="M83" s="182"/>
      <c r="N83" s="182"/>
      <c r="O83" s="182"/>
      <c r="P83" s="182"/>
      <c r="Q83" s="182"/>
      <c r="R83" s="200"/>
      <c r="S83" s="21"/>
    </row>
    <row r="84" spans="1:19">
      <c r="A84" s="20"/>
      <c r="B84" s="102"/>
      <c r="I84" s="94"/>
      <c r="J84" s="25"/>
      <c r="K84" s="199"/>
      <c r="L84" s="182"/>
      <c r="M84" s="182"/>
      <c r="N84" s="182"/>
      <c r="O84" s="182"/>
      <c r="P84" s="182"/>
      <c r="Q84" s="182"/>
      <c r="R84" s="200"/>
      <c r="S84" s="21"/>
    </row>
    <row r="85" spans="1:19">
      <c r="A85" s="20"/>
      <c r="B85" s="102"/>
      <c r="I85" s="94"/>
      <c r="J85" s="25"/>
      <c r="K85" s="199"/>
      <c r="L85" s="182"/>
      <c r="M85" s="182"/>
      <c r="N85" s="182"/>
      <c r="O85" s="182"/>
      <c r="P85" s="182"/>
      <c r="Q85" s="182"/>
      <c r="R85" s="200"/>
      <c r="S85" s="21"/>
    </row>
    <row r="86" spans="1:19">
      <c r="A86" s="20"/>
      <c r="B86" s="102"/>
      <c r="I86" s="94"/>
      <c r="J86" s="25"/>
      <c r="K86" s="199"/>
      <c r="L86" s="182"/>
      <c r="M86" s="182"/>
      <c r="N86" s="182"/>
      <c r="O86" s="182"/>
      <c r="P86" s="182"/>
      <c r="Q86" s="182"/>
      <c r="R86" s="200"/>
      <c r="S86" s="21"/>
    </row>
    <row r="87" spans="1:19">
      <c r="A87" s="20"/>
      <c r="B87" s="102"/>
      <c r="I87" s="94"/>
      <c r="J87" s="25"/>
      <c r="K87" s="199"/>
      <c r="L87" s="182"/>
      <c r="M87" s="182"/>
      <c r="N87" s="182"/>
      <c r="O87" s="182"/>
      <c r="P87" s="182"/>
      <c r="Q87" s="182"/>
      <c r="R87" s="200"/>
      <c r="S87" s="21"/>
    </row>
    <row r="88" spans="1:19">
      <c r="A88" s="20"/>
      <c r="B88" s="102"/>
      <c r="I88" s="94"/>
      <c r="J88" s="25"/>
      <c r="K88" s="199"/>
      <c r="L88" s="182"/>
      <c r="M88" s="182"/>
      <c r="N88" s="182"/>
      <c r="O88" s="182"/>
      <c r="P88" s="182"/>
      <c r="Q88" s="182"/>
      <c r="R88" s="200"/>
      <c r="S88" s="21"/>
    </row>
    <row r="89" spans="1:19">
      <c r="A89" s="20"/>
      <c r="B89" s="102"/>
      <c r="I89" s="94"/>
      <c r="J89" s="25"/>
      <c r="K89" s="199"/>
      <c r="L89" s="182"/>
      <c r="M89" s="182"/>
      <c r="N89" s="182"/>
      <c r="O89" s="182"/>
      <c r="P89" s="182"/>
      <c r="Q89" s="182"/>
      <c r="R89" s="200"/>
      <c r="S89" s="21"/>
    </row>
    <row r="90" spans="1:19">
      <c r="A90" s="20"/>
      <c r="B90" s="102"/>
      <c r="I90" s="94"/>
      <c r="J90" s="25"/>
      <c r="K90" s="199"/>
      <c r="L90" s="182"/>
      <c r="M90" s="182"/>
      <c r="N90" s="182"/>
      <c r="O90" s="182"/>
      <c r="P90" s="182"/>
      <c r="Q90" s="182"/>
      <c r="R90" s="200"/>
      <c r="S90" s="21"/>
    </row>
    <row r="91" spans="1:19">
      <c r="A91" s="20"/>
      <c r="B91" s="102"/>
      <c r="I91" s="94"/>
      <c r="J91" s="25"/>
      <c r="K91" s="199"/>
      <c r="L91" s="182"/>
      <c r="M91" s="182"/>
      <c r="N91" s="182"/>
      <c r="O91" s="182"/>
      <c r="P91" s="182"/>
      <c r="Q91" s="182"/>
      <c r="R91" s="200"/>
      <c r="S91" s="21"/>
    </row>
    <row r="92" spans="1:19">
      <c r="A92" s="20"/>
      <c r="B92" s="102"/>
      <c r="I92" s="94"/>
      <c r="J92" s="25"/>
      <c r="K92" s="199"/>
      <c r="L92" s="182"/>
      <c r="M92" s="182"/>
      <c r="N92" s="182"/>
      <c r="O92" s="182"/>
      <c r="P92" s="182"/>
      <c r="Q92" s="182"/>
      <c r="R92" s="200"/>
      <c r="S92" s="21"/>
    </row>
    <row r="93" spans="1:19">
      <c r="A93" s="20"/>
      <c r="B93" s="102"/>
      <c r="I93" s="94"/>
      <c r="J93" s="25"/>
      <c r="K93" s="199"/>
      <c r="L93" s="182"/>
      <c r="M93" s="182"/>
      <c r="N93" s="182"/>
      <c r="O93" s="182"/>
      <c r="P93" s="182"/>
      <c r="Q93" s="182"/>
      <c r="R93" s="200"/>
      <c r="S93" s="21"/>
    </row>
    <row r="94" spans="1:19">
      <c r="A94" s="20"/>
      <c r="B94" s="102"/>
      <c r="I94" s="94"/>
      <c r="J94" s="25"/>
      <c r="K94" s="199"/>
      <c r="L94" s="182"/>
      <c r="M94" s="182"/>
      <c r="N94" s="182"/>
      <c r="O94" s="182"/>
      <c r="P94" s="182"/>
      <c r="Q94" s="182"/>
      <c r="R94" s="200"/>
      <c r="S94" s="21"/>
    </row>
    <row r="95" spans="1:19">
      <c r="A95" s="20"/>
      <c r="B95" s="102"/>
      <c r="I95" s="94"/>
      <c r="J95" s="25"/>
      <c r="K95" s="199"/>
      <c r="L95" s="182"/>
      <c r="M95" s="182"/>
      <c r="N95" s="182"/>
      <c r="O95" s="182"/>
      <c r="P95" s="182"/>
      <c r="Q95" s="182"/>
      <c r="R95" s="200"/>
      <c r="S95" s="21"/>
    </row>
    <row r="96" spans="1:19">
      <c r="A96" s="20"/>
      <c r="B96" s="102"/>
      <c r="I96" s="94"/>
      <c r="J96" s="25"/>
      <c r="K96" s="199"/>
      <c r="L96" s="182"/>
      <c r="M96" s="182"/>
      <c r="N96" s="182"/>
      <c r="O96" s="182"/>
      <c r="P96" s="182"/>
      <c r="Q96" s="182"/>
      <c r="R96" s="200"/>
      <c r="S96" s="21"/>
    </row>
    <row r="97" spans="1:19">
      <c r="A97" s="20"/>
      <c r="B97" s="102"/>
      <c r="I97" s="94"/>
      <c r="J97" s="25"/>
      <c r="K97" s="199"/>
      <c r="L97" s="182"/>
      <c r="M97" s="182"/>
      <c r="N97" s="182"/>
      <c r="O97" s="182"/>
      <c r="P97" s="182"/>
      <c r="Q97" s="182"/>
      <c r="R97" s="200"/>
      <c r="S97" s="21"/>
    </row>
    <row r="98" spans="1:19">
      <c r="A98" s="20"/>
      <c r="B98" s="102"/>
      <c r="I98" s="94"/>
      <c r="J98" s="25"/>
      <c r="K98" s="199"/>
      <c r="L98" s="182"/>
      <c r="M98" s="182"/>
      <c r="N98" s="182"/>
      <c r="O98" s="182"/>
      <c r="P98" s="182"/>
      <c r="Q98" s="182"/>
      <c r="R98" s="200"/>
      <c r="S98" s="21"/>
    </row>
    <row r="99" spans="1:19">
      <c r="A99" s="20"/>
      <c r="B99" s="102"/>
      <c r="I99" s="94"/>
      <c r="J99" s="25"/>
      <c r="K99" s="199"/>
      <c r="L99" s="182"/>
      <c r="M99" s="182"/>
      <c r="N99" s="182"/>
      <c r="O99" s="182"/>
      <c r="P99" s="182"/>
      <c r="Q99" s="182"/>
      <c r="R99" s="200"/>
      <c r="S99" s="21"/>
    </row>
    <row r="100" spans="1:19">
      <c r="A100" s="20"/>
      <c r="B100" s="102"/>
      <c r="I100" s="94"/>
      <c r="J100" s="25"/>
      <c r="K100" s="199"/>
      <c r="L100" s="182"/>
      <c r="M100" s="182"/>
      <c r="N100" s="182"/>
      <c r="O100" s="182"/>
      <c r="P100" s="182"/>
      <c r="Q100" s="182"/>
      <c r="R100" s="200"/>
      <c r="S100" s="21"/>
    </row>
    <row r="101" spans="1:19">
      <c r="A101" s="20"/>
      <c r="B101" s="102"/>
      <c r="I101" s="94"/>
      <c r="J101" s="25"/>
      <c r="K101" s="199"/>
      <c r="L101" s="182"/>
      <c r="M101" s="182"/>
      <c r="N101" s="182"/>
      <c r="O101" s="182"/>
      <c r="P101" s="182"/>
      <c r="Q101" s="182"/>
      <c r="R101" s="200"/>
      <c r="S101" s="21"/>
    </row>
    <row r="102" spans="1:19">
      <c r="A102" s="20"/>
      <c r="B102" s="102"/>
      <c r="I102" s="94"/>
      <c r="J102" s="25"/>
      <c r="K102" s="199"/>
      <c r="L102" s="182"/>
      <c r="M102" s="182"/>
      <c r="N102" s="182"/>
      <c r="O102" s="182"/>
      <c r="P102" s="182"/>
      <c r="Q102" s="182"/>
      <c r="R102" s="200"/>
      <c r="S102" s="21"/>
    </row>
    <row r="103" spans="1:19">
      <c r="A103" s="20"/>
      <c r="B103" s="102"/>
      <c r="I103" s="94"/>
      <c r="J103" s="25"/>
      <c r="K103" s="199"/>
      <c r="L103" s="182"/>
      <c r="M103" s="182"/>
      <c r="N103" s="182"/>
      <c r="O103" s="182"/>
      <c r="P103" s="182"/>
      <c r="Q103" s="182"/>
      <c r="R103" s="200"/>
      <c r="S103" s="21"/>
    </row>
    <row r="104" spans="1:19">
      <c r="A104" s="20"/>
      <c r="B104" s="102"/>
      <c r="I104" s="94"/>
      <c r="J104" s="25"/>
      <c r="K104" s="199"/>
      <c r="L104" s="182"/>
      <c r="M104" s="182"/>
      <c r="N104" s="182"/>
      <c r="O104" s="182"/>
      <c r="P104" s="182"/>
      <c r="Q104" s="182"/>
      <c r="R104" s="200"/>
      <c r="S104" s="21"/>
    </row>
    <row r="105" spans="1:19">
      <c r="A105" s="20"/>
      <c r="B105" s="102"/>
      <c r="I105" s="94"/>
      <c r="J105" s="25"/>
      <c r="K105" s="191"/>
      <c r="L105" s="192"/>
      <c r="M105" s="192"/>
      <c r="N105" s="192"/>
      <c r="O105" s="192"/>
      <c r="P105" s="192"/>
      <c r="Q105" s="192"/>
      <c r="R105" s="193"/>
      <c r="S105" s="21"/>
    </row>
    <row r="106" spans="1:19">
      <c r="A106" s="20"/>
      <c r="B106" s="191"/>
      <c r="C106" s="192"/>
      <c r="D106" s="192"/>
      <c r="E106" s="192"/>
      <c r="F106" s="192"/>
      <c r="G106" s="192"/>
      <c r="H106" s="192"/>
      <c r="I106" s="193"/>
      <c r="J106" s="25"/>
      <c r="K106" s="195"/>
      <c r="L106" s="176"/>
      <c r="M106" s="176"/>
      <c r="N106" s="176"/>
      <c r="O106" s="176"/>
      <c r="P106" s="176"/>
      <c r="Q106" s="176"/>
      <c r="R106" s="196"/>
      <c r="S106" s="21"/>
    </row>
    <row r="107" spans="1:19">
      <c r="A107" s="20"/>
      <c r="B107" s="195"/>
      <c r="C107" s="176"/>
      <c r="D107" s="176"/>
      <c r="E107" s="176"/>
      <c r="F107" s="176"/>
      <c r="G107" s="176"/>
      <c r="H107" s="176"/>
      <c r="I107" s="196"/>
      <c r="J107" s="25"/>
      <c r="K107" s="195"/>
      <c r="L107" s="176"/>
      <c r="M107" s="176"/>
      <c r="N107" s="176"/>
      <c r="O107" s="176"/>
      <c r="P107" s="176"/>
      <c r="Q107" s="176"/>
      <c r="R107" s="196"/>
      <c r="S107" s="21"/>
    </row>
    <row r="108" spans="1:19">
      <c r="A108" s="20"/>
      <c r="B108" s="197"/>
      <c r="C108" s="194"/>
      <c r="D108" s="194"/>
      <c r="E108" s="194"/>
      <c r="F108" s="194"/>
      <c r="G108" s="194"/>
      <c r="H108" s="194"/>
      <c r="I108" s="198"/>
      <c r="J108" s="25"/>
      <c r="K108" s="197"/>
      <c r="L108" s="194"/>
      <c r="M108" s="194"/>
      <c r="N108" s="194"/>
      <c r="O108" s="194"/>
      <c r="P108" s="194"/>
      <c r="Q108" s="194"/>
      <c r="R108" s="198"/>
      <c r="S108" s="21"/>
    </row>
    <row r="109" spans="1:19">
      <c r="A109" s="20"/>
      <c r="B109" s="199"/>
      <c r="C109" s="182"/>
      <c r="D109" s="182"/>
      <c r="E109" s="182"/>
      <c r="F109" s="182"/>
      <c r="G109" s="182"/>
      <c r="H109" s="182"/>
      <c r="I109" s="200"/>
      <c r="J109" s="25"/>
      <c r="K109" s="199"/>
      <c r="L109" s="182"/>
      <c r="M109" s="182"/>
      <c r="N109" s="182"/>
      <c r="O109" s="182"/>
      <c r="P109" s="182"/>
      <c r="Q109" s="182"/>
      <c r="R109" s="200"/>
      <c r="S109" s="21"/>
    </row>
    <row r="110" spans="1:19">
      <c r="A110" s="20"/>
      <c r="B110" s="199"/>
      <c r="C110" s="182"/>
      <c r="D110" s="182"/>
      <c r="E110" s="182"/>
      <c r="F110" s="182"/>
      <c r="G110" s="182"/>
      <c r="H110" s="182"/>
      <c r="I110" s="200"/>
      <c r="J110" s="25"/>
      <c r="K110" s="199"/>
      <c r="L110" s="182"/>
      <c r="M110" s="182"/>
      <c r="N110" s="182"/>
      <c r="O110" s="182"/>
      <c r="P110" s="182"/>
      <c r="Q110" s="182"/>
      <c r="R110" s="200"/>
      <c r="S110" s="21"/>
    </row>
    <row r="111" spans="1:19">
      <c r="A111" s="20"/>
      <c r="B111" s="199"/>
      <c r="C111" s="182"/>
      <c r="D111" s="182"/>
      <c r="E111" s="182"/>
      <c r="F111" s="182"/>
      <c r="G111" s="182"/>
      <c r="H111" s="182"/>
      <c r="I111" s="200"/>
      <c r="J111" s="25"/>
      <c r="K111" s="199"/>
      <c r="L111" s="182"/>
      <c r="M111" s="182"/>
      <c r="N111" s="182"/>
      <c r="O111" s="182"/>
      <c r="P111" s="182"/>
      <c r="Q111" s="182"/>
      <c r="R111" s="200"/>
      <c r="S111" s="21"/>
    </row>
    <row r="112" spans="1:19">
      <c r="A112" s="20"/>
      <c r="B112" s="199"/>
      <c r="C112" s="182"/>
      <c r="D112" s="182"/>
      <c r="E112" s="182"/>
      <c r="F112" s="182"/>
      <c r="G112" s="182"/>
      <c r="H112" s="182"/>
      <c r="I112" s="200"/>
      <c r="J112" s="25"/>
      <c r="K112" s="199"/>
      <c r="L112" s="182"/>
      <c r="M112" s="182"/>
      <c r="N112" s="182"/>
      <c r="O112" s="182"/>
      <c r="P112" s="182"/>
      <c r="Q112" s="182"/>
      <c r="R112" s="200"/>
      <c r="S112" s="21"/>
    </row>
    <row r="113" spans="1:19">
      <c r="A113" s="20"/>
      <c r="B113" s="199"/>
      <c r="C113" s="182"/>
      <c r="D113" s="182"/>
      <c r="E113" s="182"/>
      <c r="F113" s="182"/>
      <c r="G113" s="182"/>
      <c r="H113" s="182"/>
      <c r="I113" s="200"/>
      <c r="J113" s="25"/>
      <c r="K113" s="199"/>
      <c r="L113" s="182"/>
      <c r="M113" s="182"/>
      <c r="N113" s="182"/>
      <c r="O113" s="182"/>
      <c r="P113" s="182"/>
      <c r="Q113" s="182"/>
      <c r="R113" s="200"/>
      <c r="S113" s="21"/>
    </row>
    <row r="114" spans="1:19">
      <c r="A114" s="20"/>
      <c r="B114" s="199"/>
      <c r="C114" s="182"/>
      <c r="D114" s="182"/>
      <c r="E114" s="182"/>
      <c r="F114" s="182"/>
      <c r="G114" s="182"/>
      <c r="H114" s="182"/>
      <c r="I114" s="200"/>
      <c r="J114" s="25"/>
      <c r="K114" s="199"/>
      <c r="L114" s="182"/>
      <c r="M114" s="182"/>
      <c r="N114" s="182"/>
      <c r="O114" s="182"/>
      <c r="P114" s="182"/>
      <c r="Q114" s="182"/>
      <c r="R114" s="200"/>
      <c r="S114" s="21"/>
    </row>
    <row r="115" spans="1:19">
      <c r="A115" s="20"/>
      <c r="B115" s="199"/>
      <c r="C115" s="182"/>
      <c r="D115" s="182"/>
      <c r="E115" s="182"/>
      <c r="F115" s="182"/>
      <c r="G115" s="182"/>
      <c r="H115" s="182"/>
      <c r="I115" s="200"/>
      <c r="J115" s="25"/>
      <c r="K115" s="199"/>
      <c r="L115" s="182"/>
      <c r="M115" s="182"/>
      <c r="N115" s="182"/>
      <c r="O115" s="182"/>
      <c r="P115" s="182"/>
      <c r="Q115" s="182"/>
      <c r="R115" s="200"/>
      <c r="S115" s="21"/>
    </row>
    <row r="116" spans="1:19">
      <c r="A116" s="20"/>
      <c r="B116" s="199"/>
      <c r="C116" s="182"/>
      <c r="D116" s="182"/>
      <c r="E116" s="182"/>
      <c r="F116" s="182"/>
      <c r="G116" s="182"/>
      <c r="H116" s="182"/>
      <c r="I116" s="200"/>
      <c r="J116" s="25"/>
      <c r="K116" s="199"/>
      <c r="L116" s="182"/>
      <c r="M116" s="182"/>
      <c r="N116" s="182"/>
      <c r="O116" s="182"/>
      <c r="P116" s="182"/>
      <c r="Q116" s="182"/>
      <c r="R116" s="200"/>
      <c r="S116" s="21"/>
    </row>
    <row r="117" spans="1:19">
      <c r="A117" s="20"/>
      <c r="B117" s="199"/>
      <c r="C117" s="182"/>
      <c r="D117" s="182"/>
      <c r="E117" s="182"/>
      <c r="F117" s="182"/>
      <c r="G117" s="182"/>
      <c r="H117" s="182"/>
      <c r="I117" s="200"/>
      <c r="J117" s="25"/>
      <c r="K117" s="199"/>
      <c r="L117" s="182"/>
      <c r="M117" s="182"/>
      <c r="N117" s="182"/>
      <c r="O117" s="182"/>
      <c r="P117" s="182"/>
      <c r="Q117" s="182"/>
      <c r="R117" s="200"/>
      <c r="S117" s="21"/>
    </row>
    <row r="118" spans="1:19">
      <c r="A118" s="20"/>
      <c r="B118" s="199"/>
      <c r="C118" s="182"/>
      <c r="D118" s="182"/>
      <c r="E118" s="182"/>
      <c r="F118" s="182"/>
      <c r="G118" s="182"/>
      <c r="H118" s="182"/>
      <c r="I118" s="200"/>
      <c r="J118" s="25"/>
      <c r="K118" s="199"/>
      <c r="L118" s="182"/>
      <c r="M118" s="182"/>
      <c r="N118" s="182"/>
      <c r="O118" s="182"/>
      <c r="P118" s="182"/>
      <c r="Q118" s="182"/>
      <c r="R118" s="200"/>
      <c r="S118" s="21"/>
    </row>
    <row r="119" spans="1:19">
      <c r="A119" s="20"/>
      <c r="B119" s="199"/>
      <c r="C119" s="182"/>
      <c r="D119" s="182"/>
      <c r="E119" s="182"/>
      <c r="F119" s="182"/>
      <c r="G119" s="182"/>
      <c r="H119" s="182"/>
      <c r="I119" s="200"/>
      <c r="J119" s="25"/>
      <c r="K119" s="199"/>
      <c r="L119" s="182"/>
      <c r="M119" s="182"/>
      <c r="N119" s="182"/>
      <c r="O119" s="182"/>
      <c r="P119" s="182"/>
      <c r="Q119" s="182"/>
      <c r="R119" s="200"/>
      <c r="S119" s="21"/>
    </row>
    <row r="120" spans="1:19">
      <c r="A120" s="20"/>
      <c r="B120" s="199"/>
      <c r="C120" s="182"/>
      <c r="D120" s="182"/>
      <c r="E120" s="182"/>
      <c r="F120" s="182"/>
      <c r="G120" s="182"/>
      <c r="H120" s="182"/>
      <c r="I120" s="200"/>
      <c r="J120" s="25"/>
      <c r="K120" s="199"/>
      <c r="L120" s="182"/>
      <c r="M120" s="182"/>
      <c r="N120" s="182"/>
      <c r="O120" s="182"/>
      <c r="P120" s="182"/>
      <c r="Q120" s="182"/>
      <c r="R120" s="200"/>
      <c r="S120" s="21"/>
    </row>
    <row r="121" spans="1:19">
      <c r="A121" s="20"/>
      <c r="B121" s="199"/>
      <c r="C121" s="182"/>
      <c r="D121" s="182"/>
      <c r="E121" s="182"/>
      <c r="F121" s="182"/>
      <c r="G121" s="182"/>
      <c r="H121" s="182"/>
      <c r="I121" s="200"/>
      <c r="J121" s="25"/>
      <c r="K121" s="199"/>
      <c r="L121" s="182"/>
      <c r="M121" s="182"/>
      <c r="N121" s="182"/>
      <c r="O121" s="182"/>
      <c r="P121" s="182"/>
      <c r="Q121" s="182"/>
      <c r="R121" s="200"/>
      <c r="S121" s="21"/>
    </row>
    <row r="122" spans="1:19">
      <c r="A122" s="20"/>
      <c r="B122" s="199"/>
      <c r="C122" s="182"/>
      <c r="D122" s="182"/>
      <c r="E122" s="182"/>
      <c r="F122" s="182"/>
      <c r="G122" s="182"/>
      <c r="H122" s="182"/>
      <c r="I122" s="200"/>
      <c r="J122" s="25"/>
      <c r="K122" s="199"/>
      <c r="L122" s="182"/>
      <c r="M122" s="182"/>
      <c r="N122" s="182"/>
      <c r="O122" s="182"/>
      <c r="P122" s="182"/>
      <c r="Q122" s="182"/>
      <c r="R122" s="200"/>
      <c r="S122" s="21"/>
    </row>
    <row r="123" spans="1:19">
      <c r="A123" s="20"/>
      <c r="B123" s="199"/>
      <c r="C123" s="182"/>
      <c r="D123" s="182"/>
      <c r="E123" s="182"/>
      <c r="F123" s="182"/>
      <c r="G123" s="182"/>
      <c r="H123" s="182"/>
      <c r="I123" s="200"/>
      <c r="J123" s="25"/>
      <c r="K123" s="199"/>
      <c r="L123" s="182"/>
      <c r="M123" s="182"/>
      <c r="N123" s="182"/>
      <c r="O123" s="182"/>
      <c r="P123" s="182"/>
      <c r="Q123" s="182"/>
      <c r="R123" s="200"/>
      <c r="S123" s="21"/>
    </row>
    <row r="124" spans="1:19">
      <c r="A124" s="20"/>
      <c r="B124" s="199"/>
      <c r="C124" s="182"/>
      <c r="D124" s="182"/>
      <c r="E124" s="182"/>
      <c r="F124" s="182"/>
      <c r="G124" s="182"/>
      <c r="H124" s="182"/>
      <c r="I124" s="200"/>
      <c r="J124" s="25"/>
      <c r="K124" s="199"/>
      <c r="L124" s="182"/>
      <c r="M124" s="182"/>
      <c r="N124" s="182"/>
      <c r="O124" s="182"/>
      <c r="P124" s="182"/>
      <c r="Q124" s="182"/>
      <c r="R124" s="200"/>
      <c r="S124" s="21"/>
    </row>
    <row r="125" spans="1:19">
      <c r="A125" s="20"/>
      <c r="B125" s="199"/>
      <c r="C125" s="182"/>
      <c r="D125" s="182"/>
      <c r="E125" s="182"/>
      <c r="F125" s="182"/>
      <c r="G125" s="182"/>
      <c r="H125" s="182"/>
      <c r="I125" s="200"/>
      <c r="J125" s="25"/>
      <c r="K125" s="199"/>
      <c r="L125" s="182"/>
      <c r="M125" s="182"/>
      <c r="N125" s="182"/>
      <c r="O125" s="182"/>
      <c r="P125" s="182"/>
      <c r="Q125" s="182"/>
      <c r="R125" s="200"/>
      <c r="S125" s="21"/>
    </row>
    <row r="126" spans="1:19">
      <c r="A126" s="20"/>
      <c r="B126" s="199"/>
      <c r="C126" s="182"/>
      <c r="D126" s="182"/>
      <c r="E126" s="182"/>
      <c r="F126" s="182"/>
      <c r="G126" s="182"/>
      <c r="H126" s="182"/>
      <c r="I126" s="200"/>
      <c r="J126" s="25"/>
      <c r="K126" s="199"/>
      <c r="L126" s="182"/>
      <c r="M126" s="182"/>
      <c r="N126" s="182"/>
      <c r="O126" s="182"/>
      <c r="P126" s="182"/>
      <c r="Q126" s="182"/>
      <c r="R126" s="200"/>
      <c r="S126" s="21"/>
    </row>
    <row r="127" spans="1:19">
      <c r="A127" s="20"/>
      <c r="B127" s="199"/>
      <c r="C127" s="182"/>
      <c r="D127" s="182"/>
      <c r="E127" s="182"/>
      <c r="F127" s="182"/>
      <c r="G127" s="182"/>
      <c r="H127" s="182"/>
      <c r="I127" s="200"/>
      <c r="J127" s="25"/>
      <c r="K127" s="199"/>
      <c r="L127" s="182"/>
      <c r="M127" s="182"/>
      <c r="N127" s="182"/>
      <c r="O127" s="182"/>
      <c r="P127" s="182"/>
      <c r="Q127" s="182"/>
      <c r="R127" s="200"/>
      <c r="S127" s="21"/>
    </row>
    <row r="128" spans="1:19">
      <c r="A128" s="20"/>
      <c r="B128" s="199"/>
      <c r="C128" s="182"/>
      <c r="D128" s="182"/>
      <c r="E128" s="182"/>
      <c r="F128" s="182"/>
      <c r="G128" s="182"/>
      <c r="H128" s="182"/>
      <c r="I128" s="200"/>
      <c r="J128" s="25"/>
      <c r="K128" s="199"/>
      <c r="L128" s="182"/>
      <c r="M128" s="182"/>
      <c r="N128" s="182"/>
      <c r="O128" s="182"/>
      <c r="P128" s="182"/>
      <c r="Q128" s="182"/>
      <c r="R128" s="200"/>
      <c r="S128" s="21"/>
    </row>
    <row r="129" spans="1:19">
      <c r="A129" s="20"/>
      <c r="B129" s="199"/>
      <c r="C129" s="182"/>
      <c r="D129" s="182"/>
      <c r="E129" s="182"/>
      <c r="F129" s="182"/>
      <c r="G129" s="182"/>
      <c r="H129" s="182"/>
      <c r="I129" s="200"/>
      <c r="J129" s="25"/>
      <c r="K129" s="199"/>
      <c r="L129" s="182"/>
      <c r="M129" s="182"/>
      <c r="N129" s="182"/>
      <c r="O129" s="182"/>
      <c r="P129" s="182"/>
      <c r="Q129" s="182"/>
      <c r="R129" s="200"/>
      <c r="S129" s="21"/>
    </row>
    <row r="130" spans="1:19">
      <c r="A130" s="20"/>
      <c r="B130" s="199"/>
      <c r="C130" s="182"/>
      <c r="D130" s="182"/>
      <c r="E130" s="182"/>
      <c r="F130" s="182"/>
      <c r="G130" s="182"/>
      <c r="H130" s="182"/>
      <c r="I130" s="200"/>
      <c r="J130" s="25"/>
      <c r="K130" s="199"/>
      <c r="L130" s="182"/>
      <c r="M130" s="182"/>
      <c r="N130" s="182"/>
      <c r="O130" s="182"/>
      <c r="P130" s="182"/>
      <c r="Q130" s="182"/>
      <c r="R130" s="200"/>
      <c r="S130" s="21"/>
    </row>
    <row r="131" spans="1:19">
      <c r="A131" s="20"/>
      <c r="B131" s="199"/>
      <c r="C131" s="182"/>
      <c r="D131" s="182"/>
      <c r="E131" s="182"/>
      <c r="F131" s="182"/>
      <c r="G131" s="182"/>
      <c r="H131" s="182"/>
      <c r="I131" s="200"/>
      <c r="J131" s="25"/>
      <c r="K131" s="199"/>
      <c r="L131" s="182"/>
      <c r="M131" s="182"/>
      <c r="N131" s="182"/>
      <c r="O131" s="182"/>
      <c r="P131" s="182"/>
      <c r="Q131" s="182"/>
      <c r="R131" s="200"/>
      <c r="S131" s="21"/>
    </row>
    <row r="132" spans="1:19">
      <c r="A132" s="20"/>
      <c r="B132" s="199"/>
      <c r="C132" s="182"/>
      <c r="D132" s="182"/>
      <c r="E132" s="182"/>
      <c r="F132" s="182"/>
      <c r="G132" s="182"/>
      <c r="H132" s="182"/>
      <c r="I132" s="200"/>
      <c r="J132" s="25"/>
      <c r="K132" s="199"/>
      <c r="L132" s="182"/>
      <c r="M132" s="182"/>
      <c r="N132" s="182"/>
      <c r="O132" s="182"/>
      <c r="P132" s="182"/>
      <c r="Q132" s="182"/>
      <c r="R132" s="200"/>
      <c r="S132" s="21"/>
    </row>
    <row r="133" spans="1:19">
      <c r="A133" s="20"/>
      <c r="B133" s="199"/>
      <c r="C133" s="182"/>
      <c r="D133" s="182"/>
      <c r="E133" s="182"/>
      <c r="F133" s="182"/>
      <c r="G133" s="182"/>
      <c r="H133" s="182"/>
      <c r="I133" s="200"/>
      <c r="J133" s="25"/>
      <c r="K133" s="199"/>
      <c r="L133" s="182"/>
      <c r="M133" s="182"/>
      <c r="N133" s="182"/>
      <c r="O133" s="182"/>
      <c r="P133" s="182"/>
      <c r="Q133" s="182"/>
      <c r="R133" s="200"/>
      <c r="S133" s="21"/>
    </row>
    <row r="134" spans="1:19">
      <c r="A134" s="20"/>
      <c r="B134" s="199"/>
      <c r="C134" s="182"/>
      <c r="D134" s="182"/>
      <c r="E134" s="182"/>
      <c r="F134" s="182"/>
      <c r="G134" s="182"/>
      <c r="H134" s="182"/>
      <c r="I134" s="200"/>
      <c r="J134" s="25"/>
      <c r="K134" s="199"/>
      <c r="L134" s="182"/>
      <c r="M134" s="182"/>
      <c r="N134" s="182"/>
      <c r="O134" s="182"/>
      <c r="P134" s="182"/>
      <c r="Q134" s="182"/>
      <c r="R134" s="200"/>
      <c r="S134" s="21"/>
    </row>
    <row r="135" spans="1:19">
      <c r="A135" s="20"/>
      <c r="B135" s="199"/>
      <c r="C135" s="182"/>
      <c r="D135" s="182"/>
      <c r="E135" s="182"/>
      <c r="F135" s="182"/>
      <c r="G135" s="182"/>
      <c r="H135" s="182"/>
      <c r="I135" s="200"/>
      <c r="J135" s="25"/>
      <c r="K135" s="199"/>
      <c r="L135" s="182"/>
      <c r="M135" s="182"/>
      <c r="N135" s="182"/>
      <c r="O135" s="182"/>
      <c r="P135" s="182"/>
      <c r="Q135" s="182"/>
      <c r="R135" s="200"/>
      <c r="S135" s="21"/>
    </row>
    <row r="136" spans="1:19">
      <c r="A136" s="20"/>
      <c r="B136" s="199"/>
      <c r="C136" s="182"/>
      <c r="D136" s="182"/>
      <c r="E136" s="182"/>
      <c r="F136" s="182"/>
      <c r="G136" s="182"/>
      <c r="H136" s="182"/>
      <c r="I136" s="200"/>
      <c r="J136" s="25"/>
      <c r="K136" s="199"/>
      <c r="L136" s="182"/>
      <c r="M136" s="182"/>
      <c r="N136" s="182"/>
      <c r="O136" s="182"/>
      <c r="P136" s="182"/>
      <c r="Q136" s="182"/>
      <c r="R136" s="200"/>
      <c r="S136" s="21"/>
    </row>
    <row r="137" spans="1:19">
      <c r="A137" s="20"/>
      <c r="B137" s="199"/>
      <c r="C137" s="182"/>
      <c r="D137" s="182"/>
      <c r="E137" s="182"/>
      <c r="F137" s="182"/>
      <c r="G137" s="182"/>
      <c r="H137" s="182"/>
      <c r="I137" s="200"/>
      <c r="J137" s="25"/>
      <c r="K137" s="199"/>
      <c r="L137" s="182"/>
      <c r="M137" s="182"/>
      <c r="N137" s="182"/>
      <c r="O137" s="182"/>
      <c r="P137" s="182"/>
      <c r="Q137" s="182"/>
      <c r="R137" s="200"/>
      <c r="S137" s="21"/>
    </row>
    <row r="138" spans="1:19">
      <c r="A138" s="20"/>
      <c r="B138" s="199"/>
      <c r="C138" s="182"/>
      <c r="D138" s="182"/>
      <c r="E138" s="182"/>
      <c r="F138" s="182"/>
      <c r="G138" s="182"/>
      <c r="H138" s="182"/>
      <c r="I138" s="200"/>
      <c r="J138" s="25"/>
      <c r="K138" s="199"/>
      <c r="L138" s="182"/>
      <c r="M138" s="182"/>
      <c r="N138" s="182"/>
      <c r="O138" s="182"/>
      <c r="P138" s="182"/>
      <c r="Q138" s="182"/>
      <c r="R138" s="200"/>
      <c r="S138" s="21"/>
    </row>
    <row r="139" spans="1:19">
      <c r="A139" s="20"/>
      <c r="B139" s="199"/>
      <c r="C139" s="182"/>
      <c r="D139" s="182"/>
      <c r="E139" s="182"/>
      <c r="F139" s="182"/>
      <c r="G139" s="182"/>
      <c r="H139" s="182"/>
      <c r="I139" s="200"/>
      <c r="J139" s="25"/>
      <c r="K139" s="199"/>
      <c r="L139" s="182"/>
      <c r="M139" s="182"/>
      <c r="N139" s="182"/>
      <c r="O139" s="182"/>
      <c r="P139" s="182"/>
      <c r="Q139" s="182"/>
      <c r="R139" s="200"/>
      <c r="S139" s="21"/>
    </row>
    <row r="140" spans="1:19">
      <c r="A140" s="20"/>
      <c r="B140" s="199"/>
      <c r="C140" s="182"/>
      <c r="D140" s="182"/>
      <c r="E140" s="182"/>
      <c r="F140" s="182"/>
      <c r="G140" s="182"/>
      <c r="H140" s="182"/>
      <c r="I140" s="200"/>
      <c r="J140" s="25"/>
      <c r="K140" s="199"/>
      <c r="L140" s="182"/>
      <c r="M140" s="182"/>
      <c r="N140" s="182"/>
      <c r="O140" s="182"/>
      <c r="P140" s="182"/>
      <c r="Q140" s="182"/>
      <c r="R140" s="200"/>
      <c r="S140" s="21"/>
    </row>
    <row r="141" spans="1:19">
      <c r="A141" s="20"/>
      <c r="B141" s="199"/>
      <c r="C141" s="182"/>
      <c r="D141" s="182"/>
      <c r="E141" s="182"/>
      <c r="F141" s="182"/>
      <c r="G141" s="182"/>
      <c r="H141" s="182"/>
      <c r="I141" s="200"/>
      <c r="J141" s="25"/>
      <c r="K141" s="199"/>
      <c r="L141" s="182"/>
      <c r="M141" s="182"/>
      <c r="N141" s="182"/>
      <c r="O141" s="182"/>
      <c r="P141" s="182"/>
      <c r="Q141" s="182"/>
      <c r="R141" s="200"/>
      <c r="S141" s="21"/>
    </row>
    <row r="142" spans="1:19">
      <c r="A142" s="20"/>
      <c r="B142" s="199"/>
      <c r="C142" s="182"/>
      <c r="D142" s="182"/>
      <c r="E142" s="182"/>
      <c r="F142" s="182"/>
      <c r="G142" s="182"/>
      <c r="H142" s="182"/>
      <c r="I142" s="200"/>
      <c r="J142" s="25"/>
      <c r="K142" s="199"/>
      <c r="L142" s="182"/>
      <c r="M142" s="182"/>
      <c r="N142" s="182"/>
      <c r="O142" s="182"/>
      <c r="P142" s="182"/>
      <c r="Q142" s="182"/>
      <c r="R142" s="200"/>
      <c r="S142" s="21"/>
    </row>
    <row r="143" spans="1:19">
      <c r="A143" s="20"/>
      <c r="B143" s="199"/>
      <c r="C143" s="182"/>
      <c r="D143" s="182"/>
      <c r="E143" s="182"/>
      <c r="F143" s="182"/>
      <c r="G143" s="182"/>
      <c r="H143" s="182"/>
      <c r="I143" s="200"/>
      <c r="J143" s="25"/>
      <c r="K143" s="199"/>
      <c r="L143" s="182"/>
      <c r="M143" s="182"/>
      <c r="N143" s="182"/>
      <c r="O143" s="182"/>
      <c r="P143" s="182"/>
      <c r="Q143" s="182"/>
      <c r="R143" s="200"/>
      <c r="S143" s="21"/>
    </row>
    <row r="144" spans="1:19" ht="13.5" thickBot="1">
      <c r="A144" s="20"/>
      <c r="B144" s="201"/>
      <c r="C144" s="202"/>
      <c r="D144" s="202"/>
      <c r="E144" s="202"/>
      <c r="F144" s="202"/>
      <c r="G144" s="202"/>
      <c r="H144" s="202"/>
      <c r="I144" s="203"/>
      <c r="J144" s="25"/>
      <c r="K144" s="201"/>
      <c r="L144" s="202"/>
      <c r="M144" s="202"/>
      <c r="N144" s="202"/>
      <c r="O144" s="202"/>
      <c r="P144" s="202"/>
      <c r="Q144" s="202"/>
      <c r="R144" s="203"/>
      <c r="S144" s="21"/>
    </row>
    <row r="145" spans="2:18">
      <c r="B145" s="194"/>
      <c r="C145" s="194"/>
      <c r="D145" s="194"/>
      <c r="E145" s="194"/>
      <c r="F145" s="194"/>
      <c r="G145" s="194"/>
      <c r="H145" s="194"/>
      <c r="I145" s="194"/>
      <c r="K145" s="23"/>
      <c r="L145" s="23"/>
      <c r="M145" s="23"/>
      <c r="N145" s="23"/>
      <c r="O145" s="23"/>
      <c r="P145" s="23"/>
      <c r="Q145" s="23"/>
      <c r="R145" s="23"/>
    </row>
  </sheetData>
  <phoneticPr fontId="5" type="noConversion"/>
  <pageMargins left="0.75" right="0.75" top="1" bottom="1" header="0.5" footer="0.5"/>
  <pageSetup paperSize="9" orientation="portrait" r:id="rId1"/>
  <headerFooter alignWithMargins="0">
    <oddHeader>&amp;C&amp;A</oddHeader>
    <oddFooter>&amp;L&amp;Z&amp;F&amp;RPage &amp;P</oddFooter>
  </headerFooter>
  <drawing r:id="rId2"/>
</worksheet>
</file>

<file path=xl/worksheets/sheet6.xml><?xml version="1.0" encoding="utf-8"?>
<worksheet xmlns="http://schemas.openxmlformats.org/spreadsheetml/2006/main" xmlns:r="http://schemas.openxmlformats.org/officeDocument/2006/relationships">
  <sheetPr codeName="Sheet7"/>
  <dimension ref="A2:O105"/>
  <sheetViews>
    <sheetView topLeftCell="A31" workbookViewId="0">
      <selection activeCell="M6" sqref="M6"/>
    </sheetView>
  </sheetViews>
  <sheetFormatPr defaultRowHeight="12.75"/>
  <cols>
    <col min="1" max="1" width="2" style="13" customWidth="1"/>
    <col min="2" max="2" width="8.28515625" style="13" customWidth="1"/>
    <col min="3" max="3" width="2.42578125" style="13" customWidth="1"/>
    <col min="4" max="4" width="26.5703125" style="13" customWidth="1"/>
    <col min="5" max="5" width="10" style="13" customWidth="1"/>
    <col min="6" max="6" width="11.140625" style="13" customWidth="1"/>
    <col min="7" max="7" width="11" style="13" customWidth="1"/>
    <col min="8" max="8" width="13.140625" style="13" customWidth="1"/>
    <col min="9" max="9" width="10.5703125" style="13" customWidth="1"/>
    <col min="10" max="10" width="12.42578125" style="13" bestFit="1" customWidth="1"/>
    <col min="11" max="11" width="14.140625" style="13" bestFit="1" customWidth="1"/>
    <col min="12" max="12" width="12.7109375" style="13" customWidth="1"/>
    <col min="13" max="13" width="14.140625" style="13" bestFit="1" customWidth="1"/>
    <col min="14" max="14" width="12.7109375" style="13" customWidth="1"/>
    <col min="15" max="16384" width="9.140625" style="13"/>
  </cols>
  <sheetData>
    <row r="2" spans="1:15" ht="23.25">
      <c r="B2" s="107" t="s">
        <v>159</v>
      </c>
    </row>
    <row r="3" spans="1:15" ht="51.75" customHeight="1"/>
    <row r="4" spans="1:15">
      <c r="B4" s="22"/>
      <c r="D4" s="22"/>
      <c r="E4" s="22"/>
      <c r="F4" s="22"/>
      <c r="G4" s="22"/>
      <c r="H4" s="22"/>
      <c r="I4" s="22"/>
      <c r="J4" s="22"/>
      <c r="K4" s="22"/>
      <c r="L4" s="22"/>
      <c r="M4" s="22"/>
      <c r="N4" s="22"/>
    </row>
    <row r="5" spans="1:15" ht="63.75">
      <c r="A5" s="20"/>
      <c r="B5" s="40" t="s">
        <v>132</v>
      </c>
      <c r="C5" s="105"/>
      <c r="D5" s="1" t="s">
        <v>133</v>
      </c>
      <c r="E5" s="1" t="s">
        <v>134</v>
      </c>
      <c r="F5" s="1" t="s">
        <v>135</v>
      </c>
      <c r="G5" s="1" t="s">
        <v>136</v>
      </c>
      <c r="H5" s="1" t="s">
        <v>137</v>
      </c>
      <c r="I5" s="1" t="s">
        <v>138</v>
      </c>
      <c r="J5" s="1" t="s">
        <v>139</v>
      </c>
      <c r="K5" s="1" t="s">
        <v>140</v>
      </c>
      <c r="L5" s="276" t="s">
        <v>141</v>
      </c>
      <c r="M5" s="1" t="s">
        <v>142</v>
      </c>
      <c r="N5" s="276" t="s">
        <v>143</v>
      </c>
      <c r="O5" s="21"/>
    </row>
    <row r="6" spans="1:15" ht="38.25">
      <c r="A6" s="20"/>
      <c r="B6" s="41">
        <f>'Selected opps'!B15</f>
        <v>1</v>
      </c>
      <c r="C6" s="106"/>
      <c r="D6" s="155" t="str">
        <f>'Selected opps'!H15</f>
        <v>Heating control systems could apply to 30% of our halls</v>
      </c>
      <c r="E6" s="146"/>
      <c r="F6" s="146"/>
      <c r="G6" s="147"/>
      <c r="H6" s="148">
        <f>'Selected opps'!N15</f>
        <v>31397.719918960505</v>
      </c>
      <c r="I6" s="148"/>
      <c r="J6" s="149">
        <f>10</f>
        <v>10</v>
      </c>
      <c r="K6" s="146" t="str">
        <f>'Selected opps'!I15</f>
        <v>Natural gas</v>
      </c>
      <c r="L6" s="125">
        <f>'Selected opps'!J15</f>
        <v>264812.68513636361</v>
      </c>
      <c r="M6" s="146" t="str">
        <f>'Selected opps'!K15</f>
        <v>Electricity (grid)</v>
      </c>
      <c r="N6" s="125">
        <f>'Selected opps'!L15</f>
        <v>0</v>
      </c>
      <c r="O6" s="21"/>
    </row>
    <row r="7" spans="1:15" ht="25.5">
      <c r="A7" s="20"/>
      <c r="B7" s="41">
        <f>'Selected opps'!B16</f>
        <v>2</v>
      </c>
      <c r="C7" s="106"/>
      <c r="D7" s="155" t="str">
        <f>'Selected opps'!H16</f>
        <v>Optimum start controls could apply to 30% of our halls</v>
      </c>
      <c r="E7" s="146"/>
      <c r="F7" s="146"/>
      <c r="G7" s="147"/>
      <c r="H7" s="148">
        <f>'Selected opps'!N16</f>
        <v>12931.354225593719</v>
      </c>
      <c r="I7" s="148"/>
      <c r="J7" s="149">
        <f>10</f>
        <v>10</v>
      </c>
      <c r="K7" s="146" t="str">
        <f>'Selected opps'!I16</f>
        <v>Natural gas</v>
      </c>
      <c r="L7" s="125">
        <f>'Selected opps'!J16</f>
        <v>176541.79009090908</v>
      </c>
      <c r="M7" s="146" t="str">
        <f>'Selected opps'!K16</f>
        <v>Electricity (grid)</v>
      </c>
      <c r="N7" s="125">
        <f>'Selected opps'!L16</f>
        <v>0</v>
      </c>
      <c r="O7" s="21"/>
    </row>
    <row r="8" spans="1:15" ht="25.5">
      <c r="A8" s="20"/>
      <c r="B8" s="41">
        <f>'Selected opps'!B17</f>
        <v>3</v>
      </c>
      <c r="C8" s="106"/>
      <c r="D8" s="155" t="str">
        <f>'Selected opps'!H17</f>
        <v>Sequencing could apply to 30% of our halls</v>
      </c>
      <c r="E8" s="146"/>
      <c r="F8" s="146"/>
      <c r="G8" s="147"/>
      <c r="H8" s="148">
        <f>'Selected opps'!N17</f>
        <v>10743.473586414984</v>
      </c>
      <c r="I8" s="148"/>
      <c r="J8" s="149">
        <f>10</f>
        <v>10</v>
      </c>
      <c r="K8" s="146" t="str">
        <f>'Selected opps'!I17</f>
        <v>Natural gas</v>
      </c>
      <c r="L8" s="125">
        <f>'Selected opps'!J17</f>
        <v>123579.25306363637</v>
      </c>
      <c r="M8" s="146" t="str">
        <f>'Selected opps'!K17</f>
        <v>Electricity (grid)</v>
      </c>
      <c r="N8" s="125">
        <f>'Selected opps'!L17</f>
        <v>0</v>
      </c>
      <c r="O8" s="21"/>
    </row>
    <row r="9" spans="1:15" ht="25.5">
      <c r="A9" s="20"/>
      <c r="B9" s="41">
        <f>'Selected opps'!B18</f>
        <v>4</v>
      </c>
      <c r="C9" s="106"/>
      <c r="D9" s="155" t="str">
        <f>'Selected opps'!H18</f>
        <v>Zoning  could apply to 30% of our halls</v>
      </c>
      <c r="E9" s="146"/>
      <c r="F9" s="146"/>
      <c r="G9" s="147"/>
      <c r="H9" s="148">
        <f>'Selected opps'!N18</f>
        <v>11135.332805372371</v>
      </c>
      <c r="I9" s="148"/>
      <c r="J9" s="149">
        <f>10</f>
        <v>10</v>
      </c>
      <c r="K9" s="146" t="str">
        <f>'Selected opps'!I18</f>
        <v>Natural gas</v>
      </c>
      <c r="L9" s="125">
        <f>'Selected opps'!J18</f>
        <v>88270.895045454541</v>
      </c>
      <c r="M9" s="146" t="str">
        <f>'Selected opps'!K18</f>
        <v>Electricity (grid)</v>
      </c>
      <c r="N9" s="125">
        <f>'Selected opps'!L18</f>
        <v>0</v>
      </c>
      <c r="O9" s="21"/>
    </row>
    <row r="10" spans="1:15" ht="25.5">
      <c r="A10" s="20"/>
      <c r="B10" s="41">
        <f>'Selected opps'!B19</f>
        <v>5</v>
      </c>
      <c r="C10" s="106"/>
      <c r="D10" s="155" t="str">
        <f>'Selected opps'!H19</f>
        <v>Pipework insulation could apply to 30% of our halls</v>
      </c>
      <c r="E10" s="146"/>
      <c r="F10" s="146"/>
      <c r="G10" s="147"/>
      <c r="H10" s="148">
        <f>'Selected opps'!N19</f>
        <v>5742.6336507206506</v>
      </c>
      <c r="I10" s="148"/>
      <c r="J10" s="149">
        <f>10</f>
        <v>10</v>
      </c>
      <c r="K10" s="146" t="str">
        <f>'Selected opps'!I19</f>
        <v>Natural gas</v>
      </c>
      <c r="L10" s="125">
        <f>'Selected opps'!J19</f>
        <v>65776.054049999992</v>
      </c>
      <c r="M10" s="146" t="str">
        <f>'Selected opps'!K19</f>
        <v>Electricity (grid)</v>
      </c>
      <c r="N10" s="125">
        <f>'Selected opps'!L19</f>
        <v>0</v>
      </c>
      <c r="O10" s="21"/>
    </row>
    <row r="11" spans="1:15" ht="25.5">
      <c r="A11" s="20"/>
      <c r="B11" s="41">
        <f>'Selected opps'!B20</f>
        <v>6</v>
      </c>
      <c r="C11" s="106"/>
      <c r="D11" s="155" t="str">
        <f>'Selected opps'!H20</f>
        <v>Fuel switching to biofuel could apply to 30% of our halls</v>
      </c>
      <c r="E11" s="146"/>
      <c r="F11" s="146"/>
      <c r="G11" s="147"/>
      <c r="H11" s="148">
        <f>'Selected opps'!N20</f>
        <v>223309.1923258442</v>
      </c>
      <c r="I11" s="148"/>
      <c r="J11" s="149">
        <f>10</f>
        <v>10</v>
      </c>
      <c r="K11" s="146" t="str">
        <f>'Selected opps'!I20</f>
        <v>Natural gas</v>
      </c>
      <c r="L11" s="125">
        <f>'Selected opps'!J20</f>
        <v>1503452.6639999999</v>
      </c>
      <c r="M11" s="146" t="str">
        <f>'Selected opps'!K20</f>
        <v>Electricity (grid)</v>
      </c>
      <c r="N11" s="125">
        <f>'Selected opps'!L20</f>
        <v>0</v>
      </c>
      <c r="O11" s="21"/>
    </row>
    <row r="12" spans="1:15" ht="38.25">
      <c r="A12" s="20"/>
      <c r="B12" s="41">
        <f>'Selected opps'!B21</f>
        <v>7</v>
      </c>
      <c r="C12" s="106"/>
      <c r="D12" s="155" t="str">
        <f>'Selected opps'!H21</f>
        <v>Upgrade to condensing boilers could apply to 30% of our halls</v>
      </c>
      <c r="E12" s="146"/>
      <c r="F12" s="146"/>
      <c r="G12" s="147"/>
      <c r="H12" s="148">
        <f>'Selected opps'!N21</f>
        <v>55827.298081461049</v>
      </c>
      <c r="I12" s="148"/>
      <c r="J12" s="149">
        <f>10</f>
        <v>10</v>
      </c>
      <c r="K12" s="146" t="str">
        <f>'Selected opps'!I21</f>
        <v>Natural gas</v>
      </c>
      <c r="L12" s="125">
        <f>'Selected opps'!J21</f>
        <v>375863.16599999997</v>
      </c>
      <c r="M12" s="146" t="str">
        <f>'Selected opps'!K21</f>
        <v>Electricity (grid)</v>
      </c>
      <c r="N12" s="125">
        <f>'Selected opps'!L21</f>
        <v>0</v>
      </c>
      <c r="O12" s="21"/>
    </row>
    <row r="13" spans="1:15" ht="38.25">
      <c r="A13" s="20"/>
      <c r="B13" s="41">
        <f>'Selected opps'!B22</f>
        <v>8</v>
      </c>
      <c r="C13" s="106"/>
      <c r="D13" s="155" t="str">
        <f>'Selected opps'!H22</f>
        <v>IT Management software  could apply to 30% of our halls</v>
      </c>
      <c r="E13" s="146"/>
      <c r="F13" s="146"/>
      <c r="G13" s="147"/>
      <c r="H13" s="148">
        <f>'Selected opps'!N22</f>
        <v>9326.0312243128792</v>
      </c>
      <c r="I13" s="148"/>
      <c r="J13" s="149">
        <f>10</f>
        <v>10</v>
      </c>
      <c r="K13" s="146" t="str">
        <f>'Selected opps'!I22</f>
        <v>Natural gas</v>
      </c>
      <c r="L13" s="125">
        <f>'Selected opps'!J22</f>
        <v>0</v>
      </c>
      <c r="M13" s="146" t="str">
        <f>'Selected opps'!K22</f>
        <v>Electricity (grid)</v>
      </c>
      <c r="N13" s="125">
        <f>'Selected opps'!L22</f>
        <v>59068.925999999992</v>
      </c>
      <c r="O13" s="21"/>
    </row>
    <row r="14" spans="1:15" ht="25.5">
      <c r="A14" s="20"/>
      <c r="B14" s="41">
        <f>'Selected opps'!B23</f>
        <v>9</v>
      </c>
      <c r="C14" s="106"/>
      <c r="D14" s="155" t="str">
        <f>'Selected opps'!H23</f>
        <v>LCD flat screens  could apply to 30% of our halls</v>
      </c>
      <c r="E14" s="146"/>
      <c r="F14" s="146"/>
      <c r="G14" s="147"/>
      <c r="H14" s="148">
        <f>'Selected opps'!N23</f>
        <v>133292.45987946505</v>
      </c>
      <c r="I14" s="148"/>
      <c r="J14" s="149">
        <f>10</f>
        <v>10</v>
      </c>
      <c r="K14" s="146" t="str">
        <f>'Selected opps'!I23</f>
        <v>Natural gas</v>
      </c>
      <c r="L14" s="125">
        <f>'Selected opps'!J23</f>
        <v>0</v>
      </c>
      <c r="M14" s="146" t="str">
        <f>'Selected opps'!K23</f>
        <v>Electricity (grid)</v>
      </c>
      <c r="N14" s="125">
        <f>'Selected opps'!L23</f>
        <v>59068.925999999992</v>
      </c>
      <c r="O14" s="21"/>
    </row>
    <row r="15" spans="1:15" ht="25.5">
      <c r="A15" s="20"/>
      <c r="B15" s="41">
        <f>'Selected opps'!B24</f>
        <v>10</v>
      </c>
      <c r="C15" s="106"/>
      <c r="D15" s="155" t="str">
        <f>'Selected opps'!H24</f>
        <v>Printer rationalisation  could apply to 30% of our halls</v>
      </c>
      <c r="E15" s="146"/>
      <c r="F15" s="146"/>
      <c r="G15" s="147"/>
      <c r="H15" s="148">
        <f>'Selected opps'!N24</f>
        <v>38065.433568624001</v>
      </c>
      <c r="I15" s="148"/>
      <c r="J15" s="149">
        <f>10</f>
        <v>10</v>
      </c>
      <c r="K15" s="146" t="str">
        <f>'Selected opps'!I24</f>
        <v>Natural gas</v>
      </c>
      <c r="L15" s="125">
        <f>'Selected opps'!J24</f>
        <v>0</v>
      </c>
      <c r="M15" s="146" t="str">
        <f>'Selected opps'!K24</f>
        <v>Electricity (grid)</v>
      </c>
      <c r="N15" s="125">
        <f>'Selected opps'!L24</f>
        <v>59068.925999999992</v>
      </c>
      <c r="O15" s="21"/>
    </row>
    <row r="16" spans="1:15" ht="38.25">
      <c r="A16" s="20"/>
      <c r="B16" s="41">
        <f>'Selected opps'!B25</f>
        <v>11</v>
      </c>
      <c r="C16" s="106"/>
      <c r="D16" s="155" t="str">
        <f>'Selected opps'!H25</f>
        <v>Virtualisation/thin computers  could apply to 30% of our halls</v>
      </c>
      <c r="E16" s="146"/>
      <c r="F16" s="146"/>
      <c r="G16" s="147"/>
      <c r="H16" s="148">
        <f>'Selected opps'!N25</f>
        <v>16019.2032934626</v>
      </c>
      <c r="I16" s="148"/>
      <c r="J16" s="149">
        <f>10</f>
        <v>10</v>
      </c>
      <c r="K16" s="146" t="str">
        <f>'Selected opps'!I25</f>
        <v>Natural gas</v>
      </c>
      <c r="L16" s="125">
        <f>'Selected opps'!J25</f>
        <v>0</v>
      </c>
      <c r="M16" s="146" t="str">
        <f>'Selected opps'!K25</f>
        <v>Electricity (grid)</v>
      </c>
      <c r="N16" s="125">
        <f>'Selected opps'!L25</f>
        <v>49224.104999999996</v>
      </c>
      <c r="O16" s="21"/>
    </row>
    <row r="17" spans="1:15" ht="38.25">
      <c r="A17" s="20"/>
      <c r="B17" s="41">
        <f>'Selected opps'!B26</f>
        <v>12</v>
      </c>
      <c r="C17" s="106"/>
      <c r="D17" s="155" t="str">
        <f>'Selected opps'!H26</f>
        <v>Automatic lighting controls could apply to 30% of our halls</v>
      </c>
      <c r="E17" s="146"/>
      <c r="F17" s="146"/>
      <c r="G17" s="147"/>
      <c r="H17" s="148">
        <f>'Selected opps'!N26</f>
        <v>377482.21622218803</v>
      </c>
      <c r="I17" s="148"/>
      <c r="J17" s="149">
        <f>10</f>
        <v>10</v>
      </c>
      <c r="K17" s="146" t="str">
        <f>'Selected opps'!I26</f>
        <v>Natural gas</v>
      </c>
      <c r="L17" s="125">
        <f>'Selected opps'!J26</f>
        <v>0</v>
      </c>
      <c r="M17" s="146" t="str">
        <f>'Selected opps'!K26</f>
        <v>Electricity (grid)</v>
      </c>
      <c r="N17" s="125">
        <f>'Selected opps'!L26</f>
        <v>585766.84950000001</v>
      </c>
      <c r="O17" s="21"/>
    </row>
    <row r="18" spans="1:15" ht="25.5">
      <c r="A18" s="20"/>
      <c r="B18" s="41">
        <f>'Selected opps'!B27</f>
        <v>13</v>
      </c>
      <c r="C18" s="106"/>
      <c r="D18" s="155" t="str">
        <f>'Selected opps'!H27</f>
        <v>Localised lighting could apply to 30% of our halls</v>
      </c>
      <c r="E18" s="146"/>
      <c r="F18" s="146"/>
      <c r="G18" s="147"/>
      <c r="H18" s="148">
        <f>'Selected opps'!N27</f>
        <v>224691.79537035004</v>
      </c>
      <c r="I18" s="148"/>
      <c r="J18" s="149">
        <f>10</f>
        <v>10</v>
      </c>
      <c r="K18" s="146" t="str">
        <f>'Selected opps'!I27</f>
        <v>Natural gas</v>
      </c>
      <c r="L18" s="125">
        <f>'Selected opps'!J27</f>
        <v>0</v>
      </c>
      <c r="M18" s="146" t="str">
        <f>'Selected opps'!K27</f>
        <v>Electricity (grid)</v>
      </c>
      <c r="N18" s="125">
        <f>'Selected opps'!L27</f>
        <v>836809.78500000003</v>
      </c>
      <c r="O18" s="21"/>
    </row>
    <row r="19" spans="1:15" ht="38.25">
      <c r="A19" s="20"/>
      <c r="B19" s="41">
        <f>'Selected opps'!B28</f>
        <v>14</v>
      </c>
      <c r="C19" s="106"/>
      <c r="D19" s="155" t="str">
        <f>'Selected opps'!H28</f>
        <v>Retrofit/replace lighting to T5 could apply to 30% of our halls</v>
      </c>
      <c r="E19" s="146"/>
      <c r="F19" s="146"/>
      <c r="G19" s="147"/>
      <c r="H19" s="148">
        <f>'Selected opps'!N28</f>
        <v>45513.570070218098</v>
      </c>
      <c r="I19" s="148"/>
      <c r="J19" s="149">
        <f>10</f>
        <v>10</v>
      </c>
      <c r="K19" s="146" t="str">
        <f>'Selected opps'!I28</f>
        <v>Natural gas</v>
      </c>
      <c r="L19" s="125">
        <f>'Selected opps'!J28</f>
        <v>0</v>
      </c>
      <c r="M19" s="146" t="str">
        <f>'Selected opps'!K28</f>
        <v>Electricity (grid)</v>
      </c>
      <c r="N19" s="125">
        <f>'Selected opps'!L28</f>
        <v>133889.5656</v>
      </c>
      <c r="O19" s="21"/>
    </row>
    <row r="20" spans="1:15" ht="38.25">
      <c r="A20" s="20"/>
      <c r="B20" s="41">
        <f>'Selected opps'!B29</f>
        <v>15</v>
      </c>
      <c r="C20" s="106"/>
      <c r="D20" s="155" t="str">
        <f>'Selected opps'!H29</f>
        <v>Awareness raising campaign could apply to 30% of our halls</v>
      </c>
      <c r="E20" s="146"/>
      <c r="F20" s="146"/>
      <c r="G20" s="147"/>
      <c r="H20" s="148">
        <f>'Selected opps'!N29</f>
        <v>75080.299421326519</v>
      </c>
      <c r="I20" s="148"/>
      <c r="J20" s="149">
        <f>10</f>
        <v>10</v>
      </c>
      <c r="K20" s="146" t="str">
        <f>'Selected opps'!I29</f>
        <v>Natural gas</v>
      </c>
      <c r="L20" s="125">
        <f>'Selected opps'!J29</f>
        <v>131552.10810000001</v>
      </c>
      <c r="M20" s="146" t="str">
        <f>'Selected opps'!K29</f>
        <v>Electricity (grid)</v>
      </c>
      <c r="N20" s="125">
        <f>'Selected opps'!L29</f>
        <v>234306.73980000004</v>
      </c>
      <c r="O20" s="21"/>
    </row>
    <row r="21" spans="1:15" ht="38.25">
      <c r="A21" s="20"/>
      <c r="B21" s="41">
        <f>'Selected opps'!B30</f>
        <v>16</v>
      </c>
      <c r="C21" s="106"/>
      <c r="D21" s="155" t="str">
        <f>'Selected opps'!H30</f>
        <v>Equipment timer controls could apply to 30% of our halls</v>
      </c>
      <c r="E21" s="146"/>
      <c r="F21" s="146"/>
      <c r="G21" s="147"/>
      <c r="H21" s="148">
        <f>'Selected opps'!N30</f>
        <v>12984.542339519519</v>
      </c>
      <c r="I21" s="148"/>
      <c r="J21" s="149">
        <f>10</f>
        <v>10</v>
      </c>
      <c r="K21" s="146" t="str">
        <f>'Selected opps'!I30</f>
        <v>Natural gas</v>
      </c>
      <c r="L21" s="125">
        <f>'Selected opps'!J30</f>
        <v>0</v>
      </c>
      <c r="M21" s="146" t="str">
        <f>'Selected opps'!K30</f>
        <v>Electricity (grid)</v>
      </c>
      <c r="N21" s="125">
        <f>'Selected opps'!L30</f>
        <v>78758.567999999985</v>
      </c>
      <c r="O21" s="21"/>
    </row>
    <row r="22" spans="1:15" ht="38.25">
      <c r="A22" s="20"/>
      <c r="B22" s="41">
        <f>'Selected opps'!B31</f>
        <v>17</v>
      </c>
      <c r="C22" s="106"/>
      <c r="D22" s="155" t="str">
        <f>'Selected opps'!H31</f>
        <v>BMS fine tuning could apply to 30% of our Buildings Category 2</v>
      </c>
      <c r="E22" s="146"/>
      <c r="F22" s="146"/>
      <c r="G22" s="147"/>
      <c r="H22" s="148">
        <f>'Selected opps'!N31</f>
        <v>13578.937319999999</v>
      </c>
      <c r="I22" s="148"/>
      <c r="J22" s="149">
        <f>10</f>
        <v>10</v>
      </c>
      <c r="K22" s="146" t="str">
        <f>'Selected opps'!I31</f>
        <v>Natural gas</v>
      </c>
      <c r="L22" s="125">
        <f>'Selected opps'!J31</f>
        <v>90000</v>
      </c>
      <c r="M22" s="146" t="str">
        <f>'Selected opps'!K31</f>
        <v>Electricity (grid)</v>
      </c>
      <c r="N22" s="125">
        <f>'Selected opps'!L31</f>
        <v>22800</v>
      </c>
      <c r="O22" s="21"/>
    </row>
    <row r="23" spans="1:15" ht="38.25">
      <c r="A23" s="20"/>
      <c r="B23" s="41">
        <f>'Selected opps'!B32</f>
        <v>18</v>
      </c>
      <c r="C23" s="106"/>
      <c r="D23" s="155" t="str">
        <f>'Selected opps'!H32</f>
        <v>Loft insulation could apply to 30% of our Buildings Category 2</v>
      </c>
      <c r="E23" s="146"/>
      <c r="F23" s="146"/>
      <c r="G23" s="147"/>
      <c r="H23" s="148">
        <f>'Selected opps'!N32</f>
        <v>17702.637927272724</v>
      </c>
      <c r="I23" s="148"/>
      <c r="J23" s="149">
        <f>10</f>
        <v>10</v>
      </c>
      <c r="K23" s="146" t="str">
        <f>'Selected opps'!I32</f>
        <v>Natural gas</v>
      </c>
      <c r="L23" s="125">
        <f>'Selected opps'!J32</f>
        <v>169090.90909090909</v>
      </c>
      <c r="M23" s="146" t="str">
        <f>'Selected opps'!K32</f>
        <v>Electricity (grid)</v>
      </c>
      <c r="N23" s="125">
        <f>'Selected opps'!L32</f>
        <v>0</v>
      </c>
      <c r="O23" s="21"/>
    </row>
    <row r="24" spans="1:15" ht="38.25">
      <c r="A24" s="20"/>
      <c r="B24" s="41">
        <f>'Selected opps'!B33</f>
        <v>19</v>
      </c>
      <c r="C24" s="106"/>
      <c r="D24" s="155" t="str">
        <f>'Selected opps'!H33</f>
        <v>Heating control systems could apply to 30% of our Buildings Category 2</v>
      </c>
      <c r="E24" s="146"/>
      <c r="F24" s="146"/>
      <c r="G24" s="147"/>
      <c r="H24" s="148">
        <f>'Selected opps'!N33</f>
        <v>60145.181509090908</v>
      </c>
      <c r="I24" s="148"/>
      <c r="J24" s="149">
        <f>10</f>
        <v>10</v>
      </c>
      <c r="K24" s="146" t="str">
        <f>'Selected opps'!I33</f>
        <v>Natural gas</v>
      </c>
      <c r="L24" s="125">
        <f>'Selected opps'!J33</f>
        <v>507272.72727272724</v>
      </c>
      <c r="M24" s="146" t="str">
        <f>'Selected opps'!K33</f>
        <v>Electricity (grid)</v>
      </c>
      <c r="N24" s="125">
        <f>'Selected opps'!L33</f>
        <v>0</v>
      </c>
      <c r="O24" s="21"/>
    </row>
    <row r="25" spans="1:15" ht="38.25">
      <c r="A25" s="20"/>
      <c r="B25" s="41">
        <f>'Selected opps'!B34</f>
        <v>20</v>
      </c>
      <c r="C25" s="106"/>
      <c r="D25" s="155" t="str">
        <f>'Selected opps'!H34</f>
        <v>Sequencing could apply to 30% of our Buildings Category 2</v>
      </c>
      <c r="E25" s="146"/>
      <c r="F25" s="146"/>
      <c r="G25" s="147"/>
      <c r="H25" s="148">
        <f>'Selected opps'!N34</f>
        <v>20580.098509090909</v>
      </c>
      <c r="I25" s="148"/>
      <c r="J25" s="149">
        <f>10</f>
        <v>10</v>
      </c>
      <c r="K25" s="146" t="str">
        <f>'Selected opps'!I34</f>
        <v>Natural gas</v>
      </c>
      <c r="L25" s="125">
        <f>'Selected opps'!J34</f>
        <v>236727.27272727274</v>
      </c>
      <c r="M25" s="146" t="str">
        <f>'Selected opps'!K34</f>
        <v>Electricity (grid)</v>
      </c>
      <c r="N25" s="125">
        <f>'Selected opps'!L34</f>
        <v>0</v>
      </c>
      <c r="O25" s="21"/>
    </row>
    <row r="26" spans="1:15" ht="38.25">
      <c r="A26" s="20"/>
      <c r="B26" s="41">
        <f>'Selected opps'!B35</f>
        <v>21</v>
      </c>
      <c r="C26" s="106"/>
      <c r="D26" s="155" t="str">
        <f>'Selected opps'!H35</f>
        <v>Automatic lighting controls could apply to 15% of our Buildings Category 2</v>
      </c>
      <c r="E26" s="146"/>
      <c r="F26" s="146"/>
      <c r="G26" s="147"/>
      <c r="H26" s="148">
        <f>'Selected opps'!N35</f>
        <v>128562.588</v>
      </c>
      <c r="I26" s="148"/>
      <c r="J26" s="149">
        <f>10</f>
        <v>10</v>
      </c>
      <c r="K26" s="146" t="str">
        <f>'Selected opps'!I35</f>
        <v>Natural gas</v>
      </c>
      <c r="L26" s="125">
        <f>'Selected opps'!J35</f>
        <v>0</v>
      </c>
      <c r="M26" s="146" t="str">
        <f>'Selected opps'!K35</f>
        <v>Electricity (grid)</v>
      </c>
      <c r="N26" s="125">
        <f>'Selected opps'!L35</f>
        <v>199500</v>
      </c>
      <c r="O26" s="21"/>
    </row>
    <row r="27" spans="1:15" ht="38.25">
      <c r="A27" s="20"/>
      <c r="B27" s="41">
        <f>'Selected opps'!B36</f>
        <v>22</v>
      </c>
      <c r="C27" s="106"/>
      <c r="D27" s="155" t="str">
        <f>'Selected opps'!H36</f>
        <v>Effective travel plans could apply to 50% of our Transport Category 1</v>
      </c>
      <c r="E27" s="146"/>
      <c r="F27" s="146"/>
      <c r="G27" s="147"/>
      <c r="H27" s="148">
        <f>'Selected opps'!N36</f>
        <v>0</v>
      </c>
      <c r="I27" s="148"/>
      <c r="J27" s="149">
        <f>10</f>
        <v>10</v>
      </c>
      <c r="K27" s="146">
        <f>'Selected opps'!I36</f>
        <v>0</v>
      </c>
      <c r="L27" s="125">
        <f>'Selected opps'!J36</f>
        <v>0</v>
      </c>
      <c r="M27" s="146">
        <f>'Selected opps'!K36</f>
        <v>0</v>
      </c>
      <c r="N27" s="125">
        <f>'Selected opps'!L36</f>
        <v>0</v>
      </c>
      <c r="O27" s="21"/>
    </row>
    <row r="28" spans="1:15" ht="38.25">
      <c r="A28" s="20"/>
      <c r="B28" s="41">
        <f>'Selected opps'!B37</f>
        <v>23</v>
      </c>
      <c r="C28" s="106"/>
      <c r="D28" s="155" t="str">
        <f>'Selected opps'!H37</f>
        <v>Low carbon replacement vehicles could apply to 50% of our Transport Category 1</v>
      </c>
      <c r="E28" s="146"/>
      <c r="F28" s="146"/>
      <c r="G28" s="147"/>
      <c r="H28" s="148">
        <f>'Selected opps'!N37</f>
        <v>0</v>
      </c>
      <c r="I28" s="148"/>
      <c r="J28" s="149">
        <f>10</f>
        <v>10</v>
      </c>
      <c r="K28" s="146">
        <f>'Selected opps'!I37</f>
        <v>0</v>
      </c>
      <c r="L28" s="125">
        <f>'Selected opps'!J37</f>
        <v>0</v>
      </c>
      <c r="M28" s="146">
        <f>'Selected opps'!K37</f>
        <v>0</v>
      </c>
      <c r="N28" s="125">
        <f>'Selected opps'!L37</f>
        <v>0</v>
      </c>
      <c r="O28" s="21"/>
    </row>
    <row r="29" spans="1:15" ht="38.25">
      <c r="A29" s="20"/>
      <c r="B29" s="41">
        <f>'Selected opps'!B38</f>
        <v>24</v>
      </c>
      <c r="C29" s="106"/>
      <c r="D29" s="155" t="str">
        <f>'Selected opps'!H38</f>
        <v>Biodiesel replacement fuel could apply to 50% of our Transport Category 1</v>
      </c>
      <c r="E29" s="146"/>
      <c r="F29" s="146"/>
      <c r="G29" s="147"/>
      <c r="H29" s="148">
        <f>'Selected opps'!N38</f>
        <v>0</v>
      </c>
      <c r="I29" s="148"/>
      <c r="J29" s="149">
        <f>10</f>
        <v>10</v>
      </c>
      <c r="K29" s="146">
        <f>'Selected opps'!I38</f>
        <v>0</v>
      </c>
      <c r="L29" s="125">
        <f>'Selected opps'!J38</f>
        <v>0</v>
      </c>
      <c r="M29" s="146">
        <f>'Selected opps'!K38</f>
        <v>0</v>
      </c>
      <c r="N29" s="125">
        <f>'Selected opps'!L38</f>
        <v>0</v>
      </c>
      <c r="O29" s="21"/>
    </row>
    <row r="30" spans="1:15" ht="38.25">
      <c r="A30" s="20"/>
      <c r="B30" s="41">
        <f>'Selected opps'!B39</f>
        <v>25</v>
      </c>
      <c r="C30" s="106"/>
      <c r="D30" s="155" t="str">
        <f>'Selected opps'!H39</f>
        <v>Fuel management  could apply to 50% of our Transport Category 1</v>
      </c>
      <c r="E30" s="146"/>
      <c r="F30" s="146"/>
      <c r="G30" s="147"/>
      <c r="H30" s="148">
        <f>'Selected opps'!N39</f>
        <v>0</v>
      </c>
      <c r="I30" s="148"/>
      <c r="J30" s="149">
        <f>10</f>
        <v>10</v>
      </c>
      <c r="K30" s="146">
        <f>'Selected opps'!I39</f>
        <v>0</v>
      </c>
      <c r="L30" s="125">
        <f>'Selected opps'!J39</f>
        <v>0</v>
      </c>
      <c r="M30" s="146">
        <f>'Selected opps'!K39</f>
        <v>0</v>
      </c>
      <c r="N30" s="125">
        <f>'Selected opps'!L39</f>
        <v>0</v>
      </c>
      <c r="O30" s="21"/>
    </row>
    <row r="31" spans="1:15" ht="38.25">
      <c r="A31" s="20"/>
      <c r="B31" s="41">
        <f>'Selected opps'!B40</f>
        <v>26</v>
      </c>
      <c r="C31" s="106"/>
      <c r="D31" s="155" t="str">
        <f>'Selected opps'!H40</f>
        <v>Driver training &amp; maintenance could apply to 50% of our Transport Category 1</v>
      </c>
      <c r="E31" s="146"/>
      <c r="F31" s="146"/>
      <c r="G31" s="147"/>
      <c r="H31" s="148">
        <f>'Selected opps'!N40</f>
        <v>0</v>
      </c>
      <c r="I31" s="148"/>
      <c r="J31" s="149">
        <f>10</f>
        <v>10</v>
      </c>
      <c r="K31" s="146">
        <f>'Selected opps'!I40</f>
        <v>0</v>
      </c>
      <c r="L31" s="125">
        <f>'Selected opps'!J40</f>
        <v>0</v>
      </c>
      <c r="M31" s="146">
        <f>'Selected opps'!K40</f>
        <v>0</v>
      </c>
      <c r="N31" s="125">
        <f>'Selected opps'!L40</f>
        <v>0</v>
      </c>
      <c r="O31" s="21"/>
    </row>
    <row r="32" spans="1:15" ht="25.5">
      <c r="A32" s="20"/>
      <c r="B32" s="41">
        <f>'Selected opps'!B41</f>
        <v>27</v>
      </c>
      <c r="C32" s="106"/>
      <c r="D32" s="155" t="str">
        <f>'Selected opps'!H41</f>
        <v>Web Conference could apply to 50% of our business Air</v>
      </c>
      <c r="E32" s="146"/>
      <c r="F32" s="146"/>
      <c r="G32" s="147"/>
      <c r="H32" s="148">
        <f>'Selected opps'!N41</f>
        <v>0</v>
      </c>
      <c r="I32" s="148"/>
      <c r="J32" s="149">
        <f>10</f>
        <v>10</v>
      </c>
      <c r="K32" s="146">
        <f>'Selected opps'!I41</f>
        <v>0</v>
      </c>
      <c r="L32" s="125">
        <f>'Selected opps'!J41</f>
        <v>0</v>
      </c>
      <c r="M32" s="146">
        <f>'Selected opps'!K41</f>
        <v>0</v>
      </c>
      <c r="N32" s="125">
        <f>'Selected opps'!L41</f>
        <v>0</v>
      </c>
      <c r="O32" s="21"/>
    </row>
    <row r="33" spans="1:15">
      <c r="A33" s="20"/>
      <c r="B33" s="41">
        <f>'Selected opps'!B42</f>
        <v>28</v>
      </c>
      <c r="C33" s="106"/>
      <c r="D33" s="155" t="str">
        <f>'Selected opps'!H42</f>
        <v/>
      </c>
      <c r="E33" s="146"/>
      <c r="F33" s="146"/>
      <c r="G33" s="147"/>
      <c r="H33" s="148" t="str">
        <f>'Selected opps'!N42</f>
        <v/>
      </c>
      <c r="I33" s="148"/>
      <c r="J33" s="149">
        <f>10</f>
        <v>10</v>
      </c>
      <c r="K33" s="146" t="str">
        <f>'Selected opps'!I42</f>
        <v/>
      </c>
      <c r="L33" s="125" t="str">
        <f>'Selected opps'!J42</f>
        <v/>
      </c>
      <c r="M33" s="146" t="str">
        <f>'Selected opps'!K42</f>
        <v/>
      </c>
      <c r="N33" s="125" t="str">
        <f>'Selected opps'!L42</f>
        <v/>
      </c>
      <c r="O33" s="21"/>
    </row>
    <row r="34" spans="1:15">
      <c r="A34" s="20"/>
      <c r="B34" s="41">
        <f>'Selected opps'!B43</f>
        <v>29</v>
      </c>
      <c r="C34" s="106"/>
      <c r="D34" s="155" t="str">
        <f>'Selected opps'!H43</f>
        <v/>
      </c>
      <c r="E34" s="146"/>
      <c r="F34" s="146"/>
      <c r="G34" s="147"/>
      <c r="H34" s="148" t="str">
        <f>'Selected opps'!N43</f>
        <v/>
      </c>
      <c r="I34" s="148"/>
      <c r="J34" s="149">
        <f>10</f>
        <v>10</v>
      </c>
      <c r="K34" s="146" t="str">
        <f>'Selected opps'!I43</f>
        <v/>
      </c>
      <c r="L34" s="125" t="str">
        <f>'Selected opps'!J43</f>
        <v/>
      </c>
      <c r="M34" s="146" t="str">
        <f>'Selected opps'!K43</f>
        <v/>
      </c>
      <c r="N34" s="125" t="str">
        <f>'Selected opps'!L43</f>
        <v/>
      </c>
      <c r="O34" s="21"/>
    </row>
    <row r="35" spans="1:15">
      <c r="A35" s="20"/>
      <c r="B35" s="41">
        <f>'Selected opps'!B44</f>
        <v>30</v>
      </c>
      <c r="C35" s="106"/>
      <c r="D35" s="155" t="str">
        <f>'Selected opps'!H44</f>
        <v/>
      </c>
      <c r="E35" s="146"/>
      <c r="F35" s="146"/>
      <c r="G35" s="147"/>
      <c r="H35" s="148" t="str">
        <f>'Selected opps'!N44</f>
        <v/>
      </c>
      <c r="I35" s="148"/>
      <c r="J35" s="149">
        <f>10</f>
        <v>10</v>
      </c>
      <c r="K35" s="146" t="str">
        <f>'Selected opps'!I44</f>
        <v/>
      </c>
      <c r="L35" s="125" t="str">
        <f>'Selected opps'!J44</f>
        <v/>
      </c>
      <c r="M35" s="146" t="str">
        <f>'Selected opps'!K44</f>
        <v/>
      </c>
      <c r="N35" s="125" t="str">
        <f>'Selected opps'!L44</f>
        <v/>
      </c>
      <c r="O35" s="21"/>
    </row>
    <row r="36" spans="1:15">
      <c r="A36" s="20"/>
      <c r="B36" s="41">
        <f>'Selected opps'!B45</f>
        <v>31</v>
      </c>
      <c r="C36" s="106"/>
      <c r="D36" s="155" t="str">
        <f>'Selected opps'!H45</f>
        <v/>
      </c>
      <c r="E36" s="146"/>
      <c r="F36" s="146"/>
      <c r="G36" s="147"/>
      <c r="H36" s="148" t="str">
        <f>'Selected opps'!N45</f>
        <v/>
      </c>
      <c r="I36" s="148"/>
      <c r="J36" s="149">
        <f>10</f>
        <v>10</v>
      </c>
      <c r="K36" s="146" t="str">
        <f>'Selected opps'!I45</f>
        <v/>
      </c>
      <c r="L36" s="125" t="str">
        <f>'Selected opps'!J45</f>
        <v/>
      </c>
      <c r="M36" s="146" t="str">
        <f>'Selected opps'!K45</f>
        <v/>
      </c>
      <c r="N36" s="125" t="str">
        <f>'Selected opps'!L45</f>
        <v/>
      </c>
      <c r="O36" s="21"/>
    </row>
    <row r="37" spans="1:15">
      <c r="A37" s="20"/>
      <c r="B37" s="41">
        <f>'Selected opps'!B46</f>
        <v>32</v>
      </c>
      <c r="C37" s="106"/>
      <c r="D37" s="155" t="str">
        <f>'Selected opps'!H46</f>
        <v/>
      </c>
      <c r="E37" s="146"/>
      <c r="F37" s="146"/>
      <c r="G37" s="147"/>
      <c r="H37" s="148" t="str">
        <f>'Selected opps'!N46</f>
        <v/>
      </c>
      <c r="I37" s="148"/>
      <c r="J37" s="149">
        <f>10</f>
        <v>10</v>
      </c>
      <c r="K37" s="146" t="str">
        <f>'Selected opps'!I46</f>
        <v/>
      </c>
      <c r="L37" s="125" t="str">
        <f>'Selected opps'!J46</f>
        <v/>
      </c>
      <c r="M37" s="146" t="str">
        <f>'Selected opps'!K46</f>
        <v/>
      </c>
      <c r="N37" s="125" t="str">
        <f>'Selected opps'!L46</f>
        <v/>
      </c>
      <c r="O37" s="21"/>
    </row>
    <row r="38" spans="1:15">
      <c r="A38" s="20"/>
      <c r="B38" s="41">
        <f>'Selected opps'!B47</f>
        <v>33</v>
      </c>
      <c r="C38" s="106"/>
      <c r="D38" s="155" t="str">
        <f>'Selected opps'!H47</f>
        <v/>
      </c>
      <c r="E38" s="146"/>
      <c r="F38" s="146"/>
      <c r="G38" s="147"/>
      <c r="H38" s="148" t="str">
        <f>'Selected opps'!N47</f>
        <v/>
      </c>
      <c r="I38" s="148"/>
      <c r="J38" s="149">
        <f>10</f>
        <v>10</v>
      </c>
      <c r="K38" s="146" t="str">
        <f>'Selected opps'!I47</f>
        <v/>
      </c>
      <c r="L38" s="125" t="str">
        <f>'Selected opps'!J47</f>
        <v/>
      </c>
      <c r="M38" s="146" t="str">
        <f>'Selected opps'!K47</f>
        <v/>
      </c>
      <c r="N38" s="125" t="str">
        <f>'Selected opps'!L47</f>
        <v/>
      </c>
      <c r="O38" s="21"/>
    </row>
    <row r="39" spans="1:15">
      <c r="A39" s="20"/>
      <c r="B39" s="41">
        <f>'Selected opps'!B48</f>
        <v>34</v>
      </c>
      <c r="C39" s="106"/>
      <c r="D39" s="155" t="str">
        <f>'Selected opps'!H48</f>
        <v/>
      </c>
      <c r="E39" s="146"/>
      <c r="F39" s="146"/>
      <c r="G39" s="147"/>
      <c r="H39" s="148" t="str">
        <f>'Selected opps'!N48</f>
        <v/>
      </c>
      <c r="I39" s="148"/>
      <c r="J39" s="149">
        <f>10</f>
        <v>10</v>
      </c>
      <c r="K39" s="146" t="str">
        <f>'Selected opps'!I48</f>
        <v/>
      </c>
      <c r="L39" s="125" t="str">
        <f>'Selected opps'!J48</f>
        <v/>
      </c>
      <c r="M39" s="146" t="str">
        <f>'Selected opps'!K48</f>
        <v/>
      </c>
      <c r="N39" s="125" t="str">
        <f>'Selected opps'!L48</f>
        <v/>
      </c>
      <c r="O39" s="21"/>
    </row>
    <row r="40" spans="1:15">
      <c r="A40" s="20"/>
      <c r="B40" s="41">
        <f>'Selected opps'!B49</f>
        <v>35</v>
      </c>
      <c r="C40" s="106"/>
      <c r="D40" s="155" t="str">
        <f>'Selected opps'!H49</f>
        <v/>
      </c>
      <c r="E40" s="146"/>
      <c r="F40" s="146"/>
      <c r="G40" s="147"/>
      <c r="H40" s="148" t="str">
        <f>'Selected opps'!N49</f>
        <v/>
      </c>
      <c r="I40" s="148"/>
      <c r="J40" s="149">
        <f>10</f>
        <v>10</v>
      </c>
      <c r="K40" s="146" t="str">
        <f>'Selected opps'!I49</f>
        <v/>
      </c>
      <c r="L40" s="125" t="str">
        <f>'Selected opps'!J49</f>
        <v/>
      </c>
      <c r="M40" s="146" t="str">
        <f>'Selected opps'!K49</f>
        <v/>
      </c>
      <c r="N40" s="125" t="str">
        <f>'Selected opps'!L49</f>
        <v/>
      </c>
      <c r="O40" s="21"/>
    </row>
    <row r="41" spans="1:15">
      <c r="A41" s="20"/>
      <c r="B41" s="41">
        <f>'Selected opps'!B50</f>
        <v>36</v>
      </c>
      <c r="C41" s="106"/>
      <c r="D41" s="155" t="str">
        <f>'Selected opps'!H50</f>
        <v/>
      </c>
      <c r="E41" s="146"/>
      <c r="F41" s="146"/>
      <c r="G41" s="147"/>
      <c r="H41" s="148" t="str">
        <f>'Selected opps'!N50</f>
        <v/>
      </c>
      <c r="I41" s="148"/>
      <c r="J41" s="149">
        <f>10</f>
        <v>10</v>
      </c>
      <c r="K41" s="146" t="str">
        <f>'Selected opps'!I50</f>
        <v/>
      </c>
      <c r="L41" s="125" t="str">
        <f>'Selected opps'!J50</f>
        <v/>
      </c>
      <c r="M41" s="146" t="str">
        <f>'Selected opps'!K50</f>
        <v/>
      </c>
      <c r="N41" s="125" t="str">
        <f>'Selected opps'!L50</f>
        <v/>
      </c>
      <c r="O41" s="21"/>
    </row>
    <row r="42" spans="1:15">
      <c r="A42" s="20"/>
      <c r="B42" s="41">
        <f>'Selected opps'!B51</f>
        <v>37</v>
      </c>
      <c r="C42" s="106"/>
      <c r="D42" s="155" t="str">
        <f>'Selected opps'!H51</f>
        <v/>
      </c>
      <c r="E42" s="146"/>
      <c r="F42" s="146"/>
      <c r="G42" s="147"/>
      <c r="H42" s="148" t="str">
        <f>'Selected opps'!N51</f>
        <v/>
      </c>
      <c r="I42" s="148"/>
      <c r="J42" s="149">
        <f>10</f>
        <v>10</v>
      </c>
      <c r="K42" s="146" t="str">
        <f>'Selected opps'!I51</f>
        <v/>
      </c>
      <c r="L42" s="125" t="str">
        <f>'Selected opps'!J51</f>
        <v/>
      </c>
      <c r="M42" s="146" t="str">
        <f>'Selected opps'!K51</f>
        <v/>
      </c>
      <c r="N42" s="125" t="str">
        <f>'Selected opps'!L51</f>
        <v/>
      </c>
      <c r="O42" s="21"/>
    </row>
    <row r="43" spans="1:15">
      <c r="A43" s="20"/>
      <c r="B43" s="41">
        <f>'Selected opps'!B52</f>
        <v>38</v>
      </c>
      <c r="C43" s="106"/>
      <c r="D43" s="155" t="str">
        <f>'Selected opps'!H52</f>
        <v/>
      </c>
      <c r="E43" s="146"/>
      <c r="F43" s="146"/>
      <c r="G43" s="147"/>
      <c r="H43" s="148" t="str">
        <f>'Selected opps'!N52</f>
        <v/>
      </c>
      <c r="I43" s="148"/>
      <c r="J43" s="149">
        <f>10</f>
        <v>10</v>
      </c>
      <c r="K43" s="146" t="str">
        <f>'Selected opps'!I52</f>
        <v/>
      </c>
      <c r="L43" s="125" t="str">
        <f>'Selected opps'!J52</f>
        <v/>
      </c>
      <c r="M43" s="146" t="str">
        <f>'Selected opps'!K52</f>
        <v/>
      </c>
      <c r="N43" s="125" t="str">
        <f>'Selected opps'!L52</f>
        <v/>
      </c>
      <c r="O43" s="21"/>
    </row>
    <row r="44" spans="1:15">
      <c r="A44" s="20"/>
      <c r="B44" s="41">
        <f>'Selected opps'!B53</f>
        <v>39</v>
      </c>
      <c r="C44" s="106"/>
      <c r="D44" s="155" t="str">
        <f>'Selected opps'!H53</f>
        <v/>
      </c>
      <c r="E44" s="146"/>
      <c r="F44" s="146"/>
      <c r="G44" s="147"/>
      <c r="H44" s="148" t="str">
        <f>'Selected opps'!N53</f>
        <v/>
      </c>
      <c r="I44" s="148"/>
      <c r="J44" s="149">
        <f>10</f>
        <v>10</v>
      </c>
      <c r="K44" s="146" t="str">
        <f>'Selected opps'!I53</f>
        <v/>
      </c>
      <c r="L44" s="125" t="str">
        <f>'Selected opps'!J53</f>
        <v/>
      </c>
      <c r="M44" s="146" t="str">
        <f>'Selected opps'!K53</f>
        <v/>
      </c>
      <c r="N44" s="125" t="str">
        <f>'Selected opps'!L53</f>
        <v/>
      </c>
      <c r="O44" s="21"/>
    </row>
    <row r="45" spans="1:15">
      <c r="A45" s="20"/>
      <c r="B45" s="41">
        <f>'Selected opps'!B54</f>
        <v>40</v>
      </c>
      <c r="C45" s="106"/>
      <c r="D45" s="155" t="str">
        <f>'Selected opps'!H54</f>
        <v/>
      </c>
      <c r="E45" s="146"/>
      <c r="F45" s="146"/>
      <c r="G45" s="147"/>
      <c r="H45" s="148" t="str">
        <f>'Selected opps'!N54</f>
        <v/>
      </c>
      <c r="I45" s="148"/>
      <c r="J45" s="149">
        <f>10</f>
        <v>10</v>
      </c>
      <c r="K45" s="146" t="str">
        <f>'Selected opps'!I54</f>
        <v/>
      </c>
      <c r="L45" s="125" t="str">
        <f>'Selected opps'!J54</f>
        <v/>
      </c>
      <c r="M45" s="146" t="str">
        <f>'Selected opps'!K54</f>
        <v/>
      </c>
      <c r="N45" s="125" t="str">
        <f>'Selected opps'!L54</f>
        <v/>
      </c>
      <c r="O45" s="21"/>
    </row>
    <row r="46" spans="1:15">
      <c r="A46" s="20"/>
      <c r="B46" s="41">
        <f>'Selected opps'!B55</f>
        <v>41</v>
      </c>
      <c r="C46" s="106"/>
      <c r="D46" s="155" t="str">
        <f>'Selected opps'!H55</f>
        <v/>
      </c>
      <c r="E46" s="146"/>
      <c r="F46" s="146"/>
      <c r="G46" s="147"/>
      <c r="H46" s="148" t="str">
        <f>'Selected opps'!N55</f>
        <v/>
      </c>
      <c r="I46" s="148"/>
      <c r="J46" s="149">
        <f>10</f>
        <v>10</v>
      </c>
      <c r="K46" s="146" t="str">
        <f>'Selected opps'!I55</f>
        <v/>
      </c>
      <c r="L46" s="125" t="str">
        <f>'Selected opps'!J55</f>
        <v/>
      </c>
      <c r="M46" s="146" t="str">
        <f>'Selected opps'!K55</f>
        <v/>
      </c>
      <c r="N46" s="125" t="str">
        <f>'Selected opps'!L55</f>
        <v/>
      </c>
      <c r="O46" s="21"/>
    </row>
    <row r="47" spans="1:15">
      <c r="A47" s="20"/>
      <c r="B47" s="41">
        <f>'Selected opps'!B56</f>
        <v>42</v>
      </c>
      <c r="C47" s="106"/>
      <c r="D47" s="155" t="str">
        <f>'Selected opps'!H56</f>
        <v/>
      </c>
      <c r="E47" s="146"/>
      <c r="F47" s="146"/>
      <c r="G47" s="147"/>
      <c r="H47" s="148" t="str">
        <f>'Selected opps'!N56</f>
        <v/>
      </c>
      <c r="I47" s="148"/>
      <c r="J47" s="149">
        <f>10</f>
        <v>10</v>
      </c>
      <c r="K47" s="146" t="str">
        <f>'Selected opps'!I56</f>
        <v/>
      </c>
      <c r="L47" s="125" t="str">
        <f>'Selected opps'!J56</f>
        <v/>
      </c>
      <c r="M47" s="146" t="str">
        <f>'Selected opps'!K56</f>
        <v/>
      </c>
      <c r="N47" s="125" t="str">
        <f>'Selected opps'!L56</f>
        <v/>
      </c>
      <c r="O47" s="21"/>
    </row>
    <row r="48" spans="1:15">
      <c r="A48" s="20"/>
      <c r="B48" s="41">
        <f>'Selected opps'!B57</f>
        <v>43</v>
      </c>
      <c r="C48" s="106"/>
      <c r="D48" s="155" t="str">
        <f>'Selected opps'!H57</f>
        <v/>
      </c>
      <c r="E48" s="146"/>
      <c r="F48" s="146"/>
      <c r="G48" s="147"/>
      <c r="H48" s="148" t="str">
        <f>'Selected opps'!N57</f>
        <v/>
      </c>
      <c r="I48" s="148"/>
      <c r="J48" s="149">
        <f>10</f>
        <v>10</v>
      </c>
      <c r="K48" s="146" t="str">
        <f>'Selected opps'!I57</f>
        <v/>
      </c>
      <c r="L48" s="125" t="str">
        <f>'Selected opps'!J57</f>
        <v/>
      </c>
      <c r="M48" s="146" t="str">
        <f>'Selected opps'!K57</f>
        <v/>
      </c>
      <c r="N48" s="125" t="str">
        <f>'Selected opps'!L57</f>
        <v/>
      </c>
      <c r="O48" s="21"/>
    </row>
    <row r="49" spans="1:15">
      <c r="A49" s="20"/>
      <c r="B49" s="41">
        <f>'Selected opps'!B58</f>
        <v>44</v>
      </c>
      <c r="C49" s="106"/>
      <c r="D49" s="155" t="str">
        <f>'Selected opps'!H58</f>
        <v/>
      </c>
      <c r="E49" s="146"/>
      <c r="F49" s="146"/>
      <c r="G49" s="147"/>
      <c r="H49" s="148" t="str">
        <f>'Selected opps'!N58</f>
        <v/>
      </c>
      <c r="I49" s="148"/>
      <c r="J49" s="149">
        <f>10</f>
        <v>10</v>
      </c>
      <c r="K49" s="146" t="str">
        <f>'Selected opps'!I58</f>
        <v/>
      </c>
      <c r="L49" s="125" t="str">
        <f>'Selected opps'!J58</f>
        <v/>
      </c>
      <c r="M49" s="146" t="str">
        <f>'Selected opps'!K58</f>
        <v/>
      </c>
      <c r="N49" s="125" t="str">
        <f>'Selected opps'!L58</f>
        <v/>
      </c>
      <c r="O49" s="21"/>
    </row>
    <row r="50" spans="1:15">
      <c r="A50" s="20"/>
      <c r="B50" s="41">
        <f>'Selected opps'!B59</f>
        <v>45</v>
      </c>
      <c r="C50" s="106"/>
      <c r="D50" s="155" t="str">
        <f>'Selected opps'!H59</f>
        <v/>
      </c>
      <c r="E50" s="146"/>
      <c r="F50" s="146"/>
      <c r="G50" s="147"/>
      <c r="H50" s="148" t="str">
        <f>'Selected opps'!N59</f>
        <v/>
      </c>
      <c r="I50" s="148"/>
      <c r="J50" s="149">
        <f>10</f>
        <v>10</v>
      </c>
      <c r="K50" s="146" t="str">
        <f>'Selected opps'!I59</f>
        <v/>
      </c>
      <c r="L50" s="125" t="str">
        <f>'Selected opps'!J59</f>
        <v/>
      </c>
      <c r="M50" s="146" t="str">
        <f>'Selected opps'!K59</f>
        <v/>
      </c>
      <c r="N50" s="125" t="str">
        <f>'Selected opps'!L59</f>
        <v/>
      </c>
      <c r="O50" s="21"/>
    </row>
    <row r="51" spans="1:15">
      <c r="A51" s="20"/>
      <c r="B51" s="41">
        <f>'Selected opps'!B60</f>
        <v>46</v>
      </c>
      <c r="C51" s="106"/>
      <c r="D51" s="155" t="str">
        <f>'Selected opps'!H60</f>
        <v/>
      </c>
      <c r="E51" s="146"/>
      <c r="F51" s="146"/>
      <c r="G51" s="147"/>
      <c r="H51" s="148" t="str">
        <f>'Selected opps'!N60</f>
        <v/>
      </c>
      <c r="I51" s="148"/>
      <c r="J51" s="149">
        <f>10</f>
        <v>10</v>
      </c>
      <c r="K51" s="146" t="str">
        <f>'Selected opps'!I60</f>
        <v/>
      </c>
      <c r="L51" s="125" t="str">
        <f>'Selected opps'!J60</f>
        <v/>
      </c>
      <c r="M51" s="146" t="str">
        <f>'Selected opps'!K60</f>
        <v/>
      </c>
      <c r="N51" s="125" t="str">
        <f>'Selected opps'!L60</f>
        <v/>
      </c>
      <c r="O51" s="21"/>
    </row>
    <row r="52" spans="1:15">
      <c r="A52" s="20"/>
      <c r="B52" s="41">
        <f>'Selected opps'!B61</f>
        <v>47</v>
      </c>
      <c r="C52" s="106"/>
      <c r="D52" s="155" t="str">
        <f>'Selected opps'!H61</f>
        <v/>
      </c>
      <c r="E52" s="146"/>
      <c r="F52" s="146"/>
      <c r="G52" s="147"/>
      <c r="H52" s="148" t="str">
        <f>'Selected opps'!N61</f>
        <v/>
      </c>
      <c r="I52" s="148"/>
      <c r="J52" s="149">
        <f>10</f>
        <v>10</v>
      </c>
      <c r="K52" s="146" t="str">
        <f>'Selected opps'!I61</f>
        <v/>
      </c>
      <c r="L52" s="125" t="str">
        <f>'Selected opps'!J61</f>
        <v/>
      </c>
      <c r="M52" s="146" t="str">
        <f>'Selected opps'!K61</f>
        <v/>
      </c>
      <c r="N52" s="125" t="str">
        <f>'Selected opps'!L61</f>
        <v/>
      </c>
      <c r="O52" s="21"/>
    </row>
    <row r="53" spans="1:15">
      <c r="A53" s="20"/>
      <c r="B53" s="41">
        <f>'Selected opps'!B62</f>
        <v>48</v>
      </c>
      <c r="C53" s="106"/>
      <c r="D53" s="155" t="str">
        <f>'Selected opps'!H62</f>
        <v/>
      </c>
      <c r="E53" s="146"/>
      <c r="F53" s="146"/>
      <c r="G53" s="147"/>
      <c r="H53" s="148" t="str">
        <f>'Selected opps'!N62</f>
        <v/>
      </c>
      <c r="I53" s="148"/>
      <c r="J53" s="149">
        <f>10</f>
        <v>10</v>
      </c>
      <c r="K53" s="146" t="str">
        <f>'Selected opps'!I62</f>
        <v/>
      </c>
      <c r="L53" s="125" t="str">
        <f>'Selected opps'!J62</f>
        <v/>
      </c>
      <c r="M53" s="146" t="str">
        <f>'Selected opps'!K62</f>
        <v/>
      </c>
      <c r="N53" s="125" t="str">
        <f>'Selected opps'!L62</f>
        <v/>
      </c>
      <c r="O53" s="21"/>
    </row>
    <row r="54" spans="1:15">
      <c r="A54" s="20"/>
      <c r="B54" s="41">
        <f>'Selected opps'!B63</f>
        <v>49</v>
      </c>
      <c r="C54" s="106"/>
      <c r="D54" s="155" t="str">
        <f>'Selected opps'!H63</f>
        <v/>
      </c>
      <c r="E54" s="146"/>
      <c r="F54" s="146"/>
      <c r="G54" s="147"/>
      <c r="H54" s="148" t="str">
        <f>'Selected opps'!N63</f>
        <v/>
      </c>
      <c r="I54" s="148"/>
      <c r="J54" s="149">
        <f>10</f>
        <v>10</v>
      </c>
      <c r="K54" s="146" t="str">
        <f>'Selected opps'!I63</f>
        <v/>
      </c>
      <c r="L54" s="125" t="str">
        <f>'Selected opps'!J63</f>
        <v/>
      </c>
      <c r="M54" s="146" t="str">
        <f>'Selected opps'!K63</f>
        <v/>
      </c>
      <c r="N54" s="125" t="str">
        <f>'Selected opps'!L63</f>
        <v/>
      </c>
      <c r="O54" s="21"/>
    </row>
    <row r="55" spans="1:15">
      <c r="A55" s="20"/>
      <c r="B55" s="41">
        <f>'Selected opps'!B64</f>
        <v>50</v>
      </c>
      <c r="C55" s="106"/>
      <c r="D55" s="155" t="str">
        <f>'Selected opps'!H64</f>
        <v/>
      </c>
      <c r="E55" s="146"/>
      <c r="F55" s="146"/>
      <c r="G55" s="147"/>
      <c r="H55" s="148" t="str">
        <f>'Selected opps'!N64</f>
        <v/>
      </c>
      <c r="I55" s="148"/>
      <c r="J55" s="149">
        <f>10</f>
        <v>10</v>
      </c>
      <c r="K55" s="146" t="str">
        <f>'Selected opps'!I64</f>
        <v/>
      </c>
      <c r="L55" s="125" t="str">
        <f>'Selected opps'!J64</f>
        <v/>
      </c>
      <c r="M55" s="146" t="str">
        <f>'Selected opps'!K64</f>
        <v/>
      </c>
      <c r="N55" s="125" t="str">
        <f>'Selected opps'!L64</f>
        <v/>
      </c>
      <c r="O55" s="21"/>
    </row>
    <row r="56" spans="1:15">
      <c r="A56" s="20"/>
      <c r="B56" s="41">
        <f>'Selected opps'!B65</f>
        <v>51</v>
      </c>
      <c r="C56" s="106"/>
      <c r="D56" s="155" t="str">
        <f>'Selected opps'!H65</f>
        <v/>
      </c>
      <c r="E56" s="146"/>
      <c r="F56" s="146"/>
      <c r="G56" s="147"/>
      <c r="H56" s="148" t="str">
        <f>'Selected opps'!N65</f>
        <v/>
      </c>
      <c r="I56" s="148"/>
      <c r="J56" s="149">
        <f>10</f>
        <v>10</v>
      </c>
      <c r="K56" s="146" t="str">
        <f>'Selected opps'!I65</f>
        <v/>
      </c>
      <c r="L56" s="125" t="str">
        <f>'Selected opps'!J65</f>
        <v/>
      </c>
      <c r="M56" s="146" t="str">
        <f>'Selected opps'!K65</f>
        <v/>
      </c>
      <c r="N56" s="125" t="str">
        <f>'Selected opps'!L65</f>
        <v/>
      </c>
      <c r="O56" s="21"/>
    </row>
    <row r="57" spans="1:15">
      <c r="A57" s="20"/>
      <c r="B57" s="41">
        <f>'Selected opps'!B66</f>
        <v>52</v>
      </c>
      <c r="C57" s="106"/>
      <c r="D57" s="155" t="str">
        <f>'Selected opps'!H66</f>
        <v/>
      </c>
      <c r="E57" s="146"/>
      <c r="F57" s="146"/>
      <c r="G57" s="147"/>
      <c r="H57" s="148" t="str">
        <f>'Selected opps'!N66</f>
        <v/>
      </c>
      <c r="I57" s="148"/>
      <c r="J57" s="149">
        <f>10</f>
        <v>10</v>
      </c>
      <c r="K57" s="146" t="str">
        <f>'Selected opps'!I66</f>
        <v/>
      </c>
      <c r="L57" s="125" t="str">
        <f>'Selected opps'!J66</f>
        <v/>
      </c>
      <c r="M57" s="146" t="str">
        <f>'Selected opps'!K66</f>
        <v/>
      </c>
      <c r="N57" s="125" t="str">
        <f>'Selected opps'!L66</f>
        <v/>
      </c>
      <c r="O57" s="21"/>
    </row>
    <row r="58" spans="1:15">
      <c r="A58" s="20"/>
      <c r="B58" s="41">
        <f>'Selected opps'!B67</f>
        <v>53</v>
      </c>
      <c r="C58" s="106"/>
      <c r="D58" s="155" t="str">
        <f>'Selected opps'!H67</f>
        <v/>
      </c>
      <c r="E58" s="146"/>
      <c r="F58" s="146"/>
      <c r="G58" s="147"/>
      <c r="H58" s="148" t="str">
        <f>'Selected opps'!N67</f>
        <v/>
      </c>
      <c r="I58" s="148"/>
      <c r="J58" s="149">
        <f>10</f>
        <v>10</v>
      </c>
      <c r="K58" s="146" t="str">
        <f>'Selected opps'!I67</f>
        <v/>
      </c>
      <c r="L58" s="125" t="str">
        <f>'Selected opps'!J67</f>
        <v/>
      </c>
      <c r="M58" s="146" t="str">
        <f>'Selected opps'!K67</f>
        <v/>
      </c>
      <c r="N58" s="125" t="str">
        <f>'Selected opps'!L67</f>
        <v/>
      </c>
      <c r="O58" s="21"/>
    </row>
    <row r="59" spans="1:15">
      <c r="A59" s="20"/>
      <c r="B59" s="41">
        <f>'Selected opps'!B68</f>
        <v>54</v>
      </c>
      <c r="C59" s="106"/>
      <c r="D59" s="155" t="str">
        <f>'Selected opps'!H68</f>
        <v/>
      </c>
      <c r="E59" s="146"/>
      <c r="F59" s="146"/>
      <c r="G59" s="147"/>
      <c r="H59" s="148" t="str">
        <f>'Selected opps'!N68</f>
        <v/>
      </c>
      <c r="I59" s="148"/>
      <c r="J59" s="149">
        <f>10</f>
        <v>10</v>
      </c>
      <c r="K59" s="146" t="str">
        <f>'Selected opps'!I68</f>
        <v/>
      </c>
      <c r="L59" s="125" t="str">
        <f>'Selected opps'!J68</f>
        <v/>
      </c>
      <c r="M59" s="146" t="str">
        <f>'Selected opps'!K68</f>
        <v/>
      </c>
      <c r="N59" s="125" t="str">
        <f>'Selected opps'!L68</f>
        <v/>
      </c>
      <c r="O59" s="21"/>
    </row>
    <row r="60" spans="1:15">
      <c r="A60" s="20"/>
      <c r="B60" s="41">
        <f>'Selected opps'!B69</f>
        <v>55</v>
      </c>
      <c r="C60" s="106"/>
      <c r="D60" s="155" t="str">
        <f>'Selected opps'!H69</f>
        <v/>
      </c>
      <c r="E60" s="146"/>
      <c r="F60" s="146"/>
      <c r="G60" s="147"/>
      <c r="H60" s="148" t="str">
        <f>'Selected opps'!N69</f>
        <v/>
      </c>
      <c r="I60" s="148"/>
      <c r="J60" s="149">
        <f>10</f>
        <v>10</v>
      </c>
      <c r="K60" s="146" t="str">
        <f>'Selected opps'!I69</f>
        <v/>
      </c>
      <c r="L60" s="125" t="str">
        <f>'Selected opps'!J69</f>
        <v/>
      </c>
      <c r="M60" s="146" t="str">
        <f>'Selected opps'!K69</f>
        <v/>
      </c>
      <c r="N60" s="125" t="str">
        <f>'Selected opps'!L69</f>
        <v/>
      </c>
      <c r="O60" s="21"/>
    </row>
    <row r="61" spans="1:15">
      <c r="A61" s="20"/>
      <c r="B61" s="41">
        <f>'Selected opps'!B70</f>
        <v>56</v>
      </c>
      <c r="C61" s="106"/>
      <c r="D61" s="155" t="str">
        <f>'Selected opps'!H70</f>
        <v/>
      </c>
      <c r="E61" s="146"/>
      <c r="F61" s="146"/>
      <c r="G61" s="147"/>
      <c r="H61" s="148" t="str">
        <f>'Selected opps'!N70</f>
        <v/>
      </c>
      <c r="I61" s="148"/>
      <c r="J61" s="149">
        <f>10</f>
        <v>10</v>
      </c>
      <c r="K61" s="146" t="str">
        <f>'Selected opps'!I70</f>
        <v/>
      </c>
      <c r="L61" s="125" t="str">
        <f>'Selected opps'!J70</f>
        <v/>
      </c>
      <c r="M61" s="146" t="str">
        <f>'Selected opps'!K70</f>
        <v/>
      </c>
      <c r="N61" s="125" t="str">
        <f>'Selected opps'!L70</f>
        <v/>
      </c>
      <c r="O61" s="21"/>
    </row>
    <row r="62" spans="1:15">
      <c r="A62" s="20"/>
      <c r="B62" s="41">
        <f>'Selected opps'!B71</f>
        <v>57</v>
      </c>
      <c r="C62" s="106"/>
      <c r="D62" s="155" t="str">
        <f>'Selected opps'!H71</f>
        <v/>
      </c>
      <c r="E62" s="146"/>
      <c r="F62" s="146"/>
      <c r="G62" s="147"/>
      <c r="H62" s="148" t="str">
        <f>'Selected opps'!N71</f>
        <v/>
      </c>
      <c r="I62" s="148"/>
      <c r="J62" s="149">
        <f>10</f>
        <v>10</v>
      </c>
      <c r="K62" s="146" t="str">
        <f>'Selected opps'!I71</f>
        <v/>
      </c>
      <c r="L62" s="125" t="str">
        <f>'Selected opps'!J71</f>
        <v/>
      </c>
      <c r="M62" s="146" t="str">
        <f>'Selected opps'!K71</f>
        <v/>
      </c>
      <c r="N62" s="125" t="str">
        <f>'Selected opps'!L71</f>
        <v/>
      </c>
      <c r="O62" s="21"/>
    </row>
    <row r="63" spans="1:15">
      <c r="A63" s="20"/>
      <c r="B63" s="41">
        <f>'Selected opps'!B72</f>
        <v>58</v>
      </c>
      <c r="C63" s="106"/>
      <c r="D63" s="155" t="str">
        <f>'Selected opps'!H72</f>
        <v/>
      </c>
      <c r="E63" s="146"/>
      <c r="F63" s="146"/>
      <c r="G63" s="147"/>
      <c r="H63" s="148" t="str">
        <f>'Selected opps'!N72</f>
        <v/>
      </c>
      <c r="I63" s="148"/>
      <c r="J63" s="149">
        <f>10</f>
        <v>10</v>
      </c>
      <c r="K63" s="146" t="str">
        <f>'Selected opps'!I72</f>
        <v/>
      </c>
      <c r="L63" s="125" t="str">
        <f>'Selected opps'!J72</f>
        <v/>
      </c>
      <c r="M63" s="146" t="str">
        <f>'Selected opps'!K72</f>
        <v/>
      </c>
      <c r="N63" s="125" t="str">
        <f>'Selected opps'!L72</f>
        <v/>
      </c>
      <c r="O63" s="21"/>
    </row>
    <row r="64" spans="1:15">
      <c r="A64" s="20"/>
      <c r="B64" s="41">
        <f>'Selected opps'!B73</f>
        <v>59</v>
      </c>
      <c r="C64" s="106"/>
      <c r="D64" s="155" t="str">
        <f>'Selected opps'!H73</f>
        <v/>
      </c>
      <c r="E64" s="146"/>
      <c r="F64" s="146"/>
      <c r="G64" s="147"/>
      <c r="H64" s="148" t="str">
        <f>'Selected opps'!N73</f>
        <v/>
      </c>
      <c r="I64" s="148"/>
      <c r="J64" s="149">
        <f>10</f>
        <v>10</v>
      </c>
      <c r="K64" s="146" t="str">
        <f>'Selected opps'!I73</f>
        <v/>
      </c>
      <c r="L64" s="125" t="str">
        <f>'Selected opps'!J73</f>
        <v/>
      </c>
      <c r="M64" s="146" t="str">
        <f>'Selected opps'!K73</f>
        <v/>
      </c>
      <c r="N64" s="125" t="str">
        <f>'Selected opps'!L73</f>
        <v/>
      </c>
      <c r="O64" s="21"/>
    </row>
    <row r="65" spans="1:15">
      <c r="A65" s="20"/>
      <c r="B65" s="41">
        <f>'Selected opps'!B74</f>
        <v>60</v>
      </c>
      <c r="C65" s="106"/>
      <c r="D65" s="155" t="str">
        <f>'Selected opps'!H74</f>
        <v/>
      </c>
      <c r="E65" s="146"/>
      <c r="F65" s="146"/>
      <c r="G65" s="147"/>
      <c r="H65" s="148" t="str">
        <f>'Selected opps'!N74</f>
        <v/>
      </c>
      <c r="I65" s="148"/>
      <c r="J65" s="149">
        <f>10</f>
        <v>10</v>
      </c>
      <c r="K65" s="146" t="str">
        <f>'Selected opps'!I74</f>
        <v/>
      </c>
      <c r="L65" s="125" t="str">
        <f>'Selected opps'!J74</f>
        <v/>
      </c>
      <c r="M65" s="146" t="str">
        <f>'Selected opps'!K74</f>
        <v/>
      </c>
      <c r="N65" s="125" t="str">
        <f>'Selected opps'!L74</f>
        <v/>
      </c>
      <c r="O65" s="21"/>
    </row>
    <row r="66" spans="1:15">
      <c r="A66" s="20"/>
      <c r="B66" s="41">
        <f>'Selected opps'!B75</f>
        <v>61</v>
      </c>
      <c r="C66" s="106"/>
      <c r="D66" s="155" t="str">
        <f>'Selected opps'!H75</f>
        <v/>
      </c>
      <c r="E66" s="146"/>
      <c r="F66" s="146"/>
      <c r="G66" s="147"/>
      <c r="H66" s="148" t="str">
        <f>'Selected opps'!N75</f>
        <v/>
      </c>
      <c r="I66" s="148"/>
      <c r="J66" s="149">
        <f>10</f>
        <v>10</v>
      </c>
      <c r="K66" s="146" t="str">
        <f>'Selected opps'!I75</f>
        <v/>
      </c>
      <c r="L66" s="125" t="str">
        <f>'Selected opps'!J75</f>
        <v/>
      </c>
      <c r="M66" s="146" t="str">
        <f>'Selected opps'!K75</f>
        <v/>
      </c>
      <c r="N66" s="125" t="str">
        <f>'Selected opps'!L75</f>
        <v/>
      </c>
      <c r="O66" s="21"/>
    </row>
    <row r="67" spans="1:15">
      <c r="A67" s="20"/>
      <c r="B67" s="41">
        <f>'Selected opps'!B76</f>
        <v>62</v>
      </c>
      <c r="C67" s="106"/>
      <c r="D67" s="155" t="str">
        <f>'Selected opps'!H76</f>
        <v/>
      </c>
      <c r="E67" s="146"/>
      <c r="F67" s="146"/>
      <c r="G67" s="147"/>
      <c r="H67" s="148" t="str">
        <f>'Selected opps'!N76</f>
        <v/>
      </c>
      <c r="I67" s="148"/>
      <c r="J67" s="149">
        <f>10</f>
        <v>10</v>
      </c>
      <c r="K67" s="146" t="str">
        <f>'Selected opps'!I76</f>
        <v/>
      </c>
      <c r="L67" s="125" t="str">
        <f>'Selected opps'!J76</f>
        <v/>
      </c>
      <c r="M67" s="146" t="str">
        <f>'Selected opps'!K76</f>
        <v/>
      </c>
      <c r="N67" s="125" t="str">
        <f>'Selected opps'!L76</f>
        <v/>
      </c>
      <c r="O67" s="21"/>
    </row>
    <row r="68" spans="1:15">
      <c r="A68" s="20"/>
      <c r="B68" s="41">
        <f>'Selected opps'!B77</f>
        <v>63</v>
      </c>
      <c r="C68" s="106"/>
      <c r="D68" s="155" t="str">
        <f>'Selected opps'!H77</f>
        <v/>
      </c>
      <c r="E68" s="146"/>
      <c r="F68" s="146"/>
      <c r="G68" s="147"/>
      <c r="H68" s="148" t="str">
        <f>'Selected opps'!N77</f>
        <v/>
      </c>
      <c r="I68" s="148"/>
      <c r="J68" s="149">
        <f>10</f>
        <v>10</v>
      </c>
      <c r="K68" s="146" t="str">
        <f>'Selected opps'!I77</f>
        <v/>
      </c>
      <c r="L68" s="125" t="str">
        <f>'Selected opps'!J77</f>
        <v/>
      </c>
      <c r="M68" s="146" t="str">
        <f>'Selected opps'!K77</f>
        <v/>
      </c>
      <c r="N68" s="125" t="str">
        <f>'Selected opps'!L77</f>
        <v/>
      </c>
      <c r="O68" s="21"/>
    </row>
    <row r="69" spans="1:15">
      <c r="A69" s="20"/>
      <c r="B69" s="41">
        <f>'Selected opps'!B78</f>
        <v>64</v>
      </c>
      <c r="C69" s="106"/>
      <c r="D69" s="155" t="str">
        <f>'Selected opps'!H78</f>
        <v/>
      </c>
      <c r="E69" s="146"/>
      <c r="F69" s="146"/>
      <c r="G69" s="147"/>
      <c r="H69" s="148" t="str">
        <f>'Selected opps'!N78</f>
        <v/>
      </c>
      <c r="I69" s="148"/>
      <c r="J69" s="149">
        <f>10</f>
        <v>10</v>
      </c>
      <c r="K69" s="146" t="str">
        <f>'Selected opps'!I78</f>
        <v/>
      </c>
      <c r="L69" s="125" t="str">
        <f>'Selected opps'!J78</f>
        <v/>
      </c>
      <c r="M69" s="146" t="str">
        <f>'Selected opps'!K78</f>
        <v/>
      </c>
      <c r="N69" s="125" t="str">
        <f>'Selected opps'!L78</f>
        <v/>
      </c>
      <c r="O69" s="21"/>
    </row>
    <row r="70" spans="1:15">
      <c r="A70" s="20"/>
      <c r="B70" s="41">
        <f>'Selected opps'!B79</f>
        <v>65</v>
      </c>
      <c r="C70" s="106"/>
      <c r="D70" s="155" t="str">
        <f>'Selected opps'!H79</f>
        <v/>
      </c>
      <c r="E70" s="146"/>
      <c r="F70" s="146"/>
      <c r="G70" s="147"/>
      <c r="H70" s="148" t="str">
        <f>'Selected opps'!N79</f>
        <v/>
      </c>
      <c r="I70" s="148"/>
      <c r="J70" s="149">
        <f>10</f>
        <v>10</v>
      </c>
      <c r="K70" s="146" t="str">
        <f>'Selected opps'!I79</f>
        <v/>
      </c>
      <c r="L70" s="125" t="str">
        <f>'Selected opps'!J79</f>
        <v/>
      </c>
      <c r="M70" s="146" t="str">
        <f>'Selected opps'!K79</f>
        <v/>
      </c>
      <c r="N70" s="125" t="str">
        <f>'Selected opps'!L79</f>
        <v/>
      </c>
      <c r="O70" s="21"/>
    </row>
    <row r="71" spans="1:15">
      <c r="A71" s="20"/>
      <c r="B71" s="41">
        <f>'Selected opps'!B80</f>
        <v>66</v>
      </c>
      <c r="C71" s="106"/>
      <c r="D71" s="155" t="str">
        <f>'Selected opps'!H80</f>
        <v/>
      </c>
      <c r="E71" s="146"/>
      <c r="F71" s="146"/>
      <c r="G71" s="147"/>
      <c r="H71" s="148" t="str">
        <f>'Selected opps'!N80</f>
        <v/>
      </c>
      <c r="I71" s="148"/>
      <c r="J71" s="149">
        <f>10</f>
        <v>10</v>
      </c>
      <c r="K71" s="146" t="str">
        <f>'Selected opps'!I80</f>
        <v/>
      </c>
      <c r="L71" s="125" t="str">
        <f>'Selected opps'!J80</f>
        <v/>
      </c>
      <c r="M71" s="146" t="str">
        <f>'Selected opps'!K80</f>
        <v/>
      </c>
      <c r="N71" s="125" t="str">
        <f>'Selected opps'!L80</f>
        <v/>
      </c>
      <c r="O71" s="21"/>
    </row>
    <row r="72" spans="1:15">
      <c r="A72" s="20"/>
      <c r="B72" s="41">
        <f>'Selected opps'!B81</f>
        <v>67</v>
      </c>
      <c r="C72" s="106"/>
      <c r="D72" s="155" t="str">
        <f>'Selected opps'!H81</f>
        <v/>
      </c>
      <c r="E72" s="146"/>
      <c r="F72" s="146"/>
      <c r="G72" s="147"/>
      <c r="H72" s="148" t="str">
        <f>'Selected opps'!N81</f>
        <v/>
      </c>
      <c r="I72" s="148"/>
      <c r="J72" s="149">
        <f>10</f>
        <v>10</v>
      </c>
      <c r="K72" s="146" t="str">
        <f>'Selected opps'!I81</f>
        <v/>
      </c>
      <c r="L72" s="125" t="str">
        <f>'Selected opps'!J81</f>
        <v/>
      </c>
      <c r="M72" s="146" t="str">
        <f>'Selected opps'!K81</f>
        <v/>
      </c>
      <c r="N72" s="125" t="str">
        <f>'Selected opps'!L81</f>
        <v/>
      </c>
      <c r="O72" s="21"/>
    </row>
    <row r="73" spans="1:15">
      <c r="A73" s="20"/>
      <c r="B73" s="41">
        <f>'Selected opps'!B82</f>
        <v>68</v>
      </c>
      <c r="C73" s="106"/>
      <c r="D73" s="155" t="str">
        <f>'Selected opps'!H82</f>
        <v/>
      </c>
      <c r="E73" s="146"/>
      <c r="F73" s="146"/>
      <c r="G73" s="147"/>
      <c r="H73" s="148" t="str">
        <f>'Selected opps'!N82</f>
        <v/>
      </c>
      <c r="I73" s="148"/>
      <c r="J73" s="149">
        <f>10</f>
        <v>10</v>
      </c>
      <c r="K73" s="146" t="str">
        <f>'Selected opps'!I82</f>
        <v/>
      </c>
      <c r="L73" s="125" t="str">
        <f>'Selected opps'!J82</f>
        <v/>
      </c>
      <c r="M73" s="146" t="str">
        <f>'Selected opps'!K82</f>
        <v/>
      </c>
      <c r="N73" s="125" t="str">
        <f>'Selected opps'!L82</f>
        <v/>
      </c>
      <c r="O73" s="21"/>
    </row>
    <row r="74" spans="1:15">
      <c r="A74" s="20"/>
      <c r="B74" s="41">
        <f>'Selected opps'!B83</f>
        <v>69</v>
      </c>
      <c r="C74" s="106"/>
      <c r="D74" s="155" t="str">
        <f>'Selected opps'!H83</f>
        <v/>
      </c>
      <c r="E74" s="146"/>
      <c r="F74" s="146"/>
      <c r="G74" s="147"/>
      <c r="H74" s="148" t="str">
        <f>'Selected opps'!N83</f>
        <v/>
      </c>
      <c r="I74" s="148"/>
      <c r="J74" s="149">
        <f>10</f>
        <v>10</v>
      </c>
      <c r="K74" s="146" t="str">
        <f>'Selected opps'!I83</f>
        <v/>
      </c>
      <c r="L74" s="125" t="str">
        <f>'Selected opps'!J83</f>
        <v/>
      </c>
      <c r="M74" s="146" t="str">
        <f>'Selected opps'!K83</f>
        <v/>
      </c>
      <c r="N74" s="125" t="str">
        <f>'Selected opps'!L83</f>
        <v/>
      </c>
      <c r="O74" s="21"/>
    </row>
    <row r="75" spans="1:15">
      <c r="A75" s="20"/>
      <c r="B75" s="41">
        <f>'Selected opps'!B84</f>
        <v>70</v>
      </c>
      <c r="C75" s="106"/>
      <c r="D75" s="155" t="str">
        <f>'Selected opps'!H84</f>
        <v/>
      </c>
      <c r="E75" s="146"/>
      <c r="F75" s="146"/>
      <c r="G75" s="147"/>
      <c r="H75" s="148" t="str">
        <f>'Selected opps'!N84</f>
        <v/>
      </c>
      <c r="I75" s="148"/>
      <c r="J75" s="149">
        <f>10</f>
        <v>10</v>
      </c>
      <c r="K75" s="146" t="str">
        <f>'Selected opps'!I84</f>
        <v/>
      </c>
      <c r="L75" s="125" t="str">
        <f>'Selected opps'!J84</f>
        <v/>
      </c>
      <c r="M75" s="146" t="str">
        <f>'Selected opps'!K84</f>
        <v/>
      </c>
      <c r="N75" s="125" t="str">
        <f>'Selected opps'!L84</f>
        <v/>
      </c>
      <c r="O75" s="21"/>
    </row>
    <row r="76" spans="1:15">
      <c r="A76" s="20"/>
      <c r="B76" s="41">
        <f>'Selected opps'!B85</f>
        <v>71</v>
      </c>
      <c r="C76" s="106"/>
      <c r="D76" s="155" t="str">
        <f>'Selected opps'!H85</f>
        <v/>
      </c>
      <c r="E76" s="146"/>
      <c r="F76" s="146"/>
      <c r="G76" s="147"/>
      <c r="H76" s="148" t="str">
        <f>'Selected opps'!N85</f>
        <v/>
      </c>
      <c r="I76" s="148"/>
      <c r="J76" s="149">
        <f>10</f>
        <v>10</v>
      </c>
      <c r="K76" s="146" t="str">
        <f>'Selected opps'!I85</f>
        <v/>
      </c>
      <c r="L76" s="125" t="str">
        <f>'Selected opps'!J85</f>
        <v/>
      </c>
      <c r="M76" s="146" t="str">
        <f>'Selected opps'!K85</f>
        <v/>
      </c>
      <c r="N76" s="125" t="str">
        <f>'Selected opps'!L85</f>
        <v/>
      </c>
      <c r="O76" s="21"/>
    </row>
    <row r="77" spans="1:15">
      <c r="A77" s="20"/>
      <c r="B77" s="41">
        <f>'Selected opps'!B86</f>
        <v>72</v>
      </c>
      <c r="C77" s="106"/>
      <c r="D77" s="155" t="str">
        <f>'Selected opps'!H86</f>
        <v/>
      </c>
      <c r="E77" s="146"/>
      <c r="F77" s="146"/>
      <c r="G77" s="147"/>
      <c r="H77" s="148" t="str">
        <f>'Selected opps'!N86</f>
        <v/>
      </c>
      <c r="I77" s="148"/>
      <c r="J77" s="149">
        <f>10</f>
        <v>10</v>
      </c>
      <c r="K77" s="146" t="str">
        <f>'Selected opps'!I86</f>
        <v/>
      </c>
      <c r="L77" s="125" t="str">
        <f>'Selected opps'!J86</f>
        <v/>
      </c>
      <c r="M77" s="146" t="str">
        <f>'Selected opps'!K86</f>
        <v/>
      </c>
      <c r="N77" s="125" t="str">
        <f>'Selected opps'!L86</f>
        <v/>
      </c>
      <c r="O77" s="21"/>
    </row>
    <row r="78" spans="1:15">
      <c r="A78" s="20"/>
      <c r="B78" s="41">
        <f>'Selected opps'!B87</f>
        <v>73</v>
      </c>
      <c r="C78" s="106"/>
      <c r="D78" s="155" t="str">
        <f>'Selected opps'!H87</f>
        <v/>
      </c>
      <c r="E78" s="146"/>
      <c r="F78" s="146"/>
      <c r="G78" s="147"/>
      <c r="H78" s="148" t="str">
        <f>'Selected opps'!N87</f>
        <v/>
      </c>
      <c r="I78" s="148"/>
      <c r="J78" s="149">
        <f>10</f>
        <v>10</v>
      </c>
      <c r="K78" s="146" t="str">
        <f>'Selected opps'!I87</f>
        <v/>
      </c>
      <c r="L78" s="125" t="str">
        <f>'Selected opps'!J87</f>
        <v/>
      </c>
      <c r="M78" s="146" t="str">
        <f>'Selected opps'!K87</f>
        <v/>
      </c>
      <c r="N78" s="125" t="str">
        <f>'Selected opps'!L87</f>
        <v/>
      </c>
      <c r="O78" s="21"/>
    </row>
    <row r="79" spans="1:15">
      <c r="A79" s="20"/>
      <c r="B79" s="41">
        <f>'Selected opps'!B88</f>
        <v>74</v>
      </c>
      <c r="C79" s="106"/>
      <c r="D79" s="155" t="str">
        <f>'Selected opps'!H88</f>
        <v/>
      </c>
      <c r="E79" s="146"/>
      <c r="F79" s="146"/>
      <c r="G79" s="147"/>
      <c r="H79" s="148" t="str">
        <f>'Selected opps'!N88</f>
        <v/>
      </c>
      <c r="I79" s="148"/>
      <c r="J79" s="149">
        <f>10</f>
        <v>10</v>
      </c>
      <c r="K79" s="146" t="str">
        <f>'Selected opps'!I88</f>
        <v/>
      </c>
      <c r="L79" s="125" t="str">
        <f>'Selected opps'!J88</f>
        <v/>
      </c>
      <c r="M79" s="146" t="str">
        <f>'Selected opps'!K88</f>
        <v/>
      </c>
      <c r="N79" s="125" t="str">
        <f>'Selected opps'!L88</f>
        <v/>
      </c>
      <c r="O79" s="21"/>
    </row>
    <row r="80" spans="1:15">
      <c r="A80" s="20"/>
      <c r="B80" s="41">
        <f>'Selected opps'!B89</f>
        <v>75</v>
      </c>
      <c r="C80" s="106"/>
      <c r="D80" s="155" t="str">
        <f>'Selected opps'!H89</f>
        <v/>
      </c>
      <c r="E80" s="146"/>
      <c r="F80" s="146"/>
      <c r="G80" s="147"/>
      <c r="H80" s="148" t="str">
        <f>'Selected opps'!N89</f>
        <v/>
      </c>
      <c r="I80" s="148"/>
      <c r="J80" s="149">
        <f>10</f>
        <v>10</v>
      </c>
      <c r="K80" s="146" t="str">
        <f>'Selected opps'!I89</f>
        <v/>
      </c>
      <c r="L80" s="125" t="str">
        <f>'Selected opps'!J89</f>
        <v/>
      </c>
      <c r="M80" s="146" t="str">
        <f>'Selected opps'!K89</f>
        <v/>
      </c>
      <c r="N80" s="125" t="str">
        <f>'Selected opps'!L89</f>
        <v/>
      </c>
      <c r="O80" s="21"/>
    </row>
    <row r="81" spans="1:15">
      <c r="A81" s="20"/>
      <c r="B81" s="41">
        <f>'Selected opps'!B90</f>
        <v>76</v>
      </c>
      <c r="C81" s="106"/>
      <c r="D81" s="155" t="str">
        <f>'Selected opps'!H90</f>
        <v/>
      </c>
      <c r="E81" s="146"/>
      <c r="F81" s="146"/>
      <c r="G81" s="147"/>
      <c r="H81" s="148" t="str">
        <f>'Selected opps'!N90</f>
        <v/>
      </c>
      <c r="I81" s="148"/>
      <c r="J81" s="149">
        <f>10</f>
        <v>10</v>
      </c>
      <c r="K81" s="146" t="str">
        <f>'Selected opps'!I90</f>
        <v/>
      </c>
      <c r="L81" s="125" t="str">
        <f>'Selected opps'!J90</f>
        <v/>
      </c>
      <c r="M81" s="146" t="str">
        <f>'Selected opps'!K90</f>
        <v/>
      </c>
      <c r="N81" s="125" t="str">
        <f>'Selected opps'!L90</f>
        <v/>
      </c>
      <c r="O81" s="21"/>
    </row>
    <row r="82" spans="1:15">
      <c r="A82" s="20"/>
      <c r="B82" s="41">
        <f>'Selected opps'!B91</f>
        <v>77</v>
      </c>
      <c r="C82" s="106"/>
      <c r="D82" s="155" t="str">
        <f>'Selected opps'!H91</f>
        <v/>
      </c>
      <c r="E82" s="146"/>
      <c r="F82" s="146"/>
      <c r="G82" s="147"/>
      <c r="H82" s="148" t="str">
        <f>'Selected opps'!N91</f>
        <v/>
      </c>
      <c r="I82" s="148"/>
      <c r="J82" s="149">
        <f>10</f>
        <v>10</v>
      </c>
      <c r="K82" s="146" t="str">
        <f>'Selected opps'!I91</f>
        <v/>
      </c>
      <c r="L82" s="125" t="str">
        <f>'Selected opps'!J91</f>
        <v/>
      </c>
      <c r="M82" s="146" t="str">
        <f>'Selected opps'!K91</f>
        <v/>
      </c>
      <c r="N82" s="125" t="str">
        <f>'Selected opps'!L91</f>
        <v/>
      </c>
      <c r="O82" s="21"/>
    </row>
    <row r="83" spans="1:15">
      <c r="A83" s="20"/>
      <c r="B83" s="41">
        <f>'Selected opps'!B92</f>
        <v>78</v>
      </c>
      <c r="C83" s="106"/>
      <c r="D83" s="155" t="str">
        <f>'Selected opps'!H92</f>
        <v/>
      </c>
      <c r="E83" s="146"/>
      <c r="F83" s="146"/>
      <c r="G83" s="147"/>
      <c r="H83" s="148" t="str">
        <f>'Selected opps'!N92</f>
        <v/>
      </c>
      <c r="I83" s="148"/>
      <c r="J83" s="149">
        <f>10</f>
        <v>10</v>
      </c>
      <c r="K83" s="146" t="str">
        <f>'Selected opps'!I92</f>
        <v/>
      </c>
      <c r="L83" s="125" t="str">
        <f>'Selected opps'!J92</f>
        <v/>
      </c>
      <c r="M83" s="146" t="str">
        <f>'Selected opps'!K92</f>
        <v/>
      </c>
      <c r="N83" s="125" t="str">
        <f>'Selected opps'!L92</f>
        <v/>
      </c>
      <c r="O83" s="21"/>
    </row>
    <row r="84" spans="1:15">
      <c r="A84" s="20"/>
      <c r="B84" s="41">
        <f>'Selected opps'!B93</f>
        <v>79</v>
      </c>
      <c r="C84" s="106"/>
      <c r="D84" s="155" t="str">
        <f>'Selected opps'!H93</f>
        <v/>
      </c>
      <c r="E84" s="146"/>
      <c r="F84" s="146"/>
      <c r="G84" s="147"/>
      <c r="H84" s="148" t="str">
        <f>'Selected opps'!N93</f>
        <v/>
      </c>
      <c r="I84" s="148"/>
      <c r="J84" s="149">
        <f>10</f>
        <v>10</v>
      </c>
      <c r="K84" s="146" t="str">
        <f>'Selected opps'!I93</f>
        <v/>
      </c>
      <c r="L84" s="125" t="str">
        <f>'Selected opps'!J93</f>
        <v/>
      </c>
      <c r="M84" s="146" t="str">
        <f>'Selected opps'!K93</f>
        <v/>
      </c>
      <c r="N84" s="125" t="str">
        <f>'Selected opps'!L93</f>
        <v/>
      </c>
      <c r="O84" s="21"/>
    </row>
    <row r="85" spans="1:15">
      <c r="A85" s="20"/>
      <c r="B85" s="41">
        <f>'Selected opps'!B94</f>
        <v>80</v>
      </c>
      <c r="C85" s="106"/>
      <c r="D85" s="155" t="str">
        <f>'Selected opps'!H94</f>
        <v/>
      </c>
      <c r="E85" s="146"/>
      <c r="F85" s="146"/>
      <c r="G85" s="147"/>
      <c r="H85" s="148" t="str">
        <f>'Selected opps'!N94</f>
        <v/>
      </c>
      <c r="I85" s="148"/>
      <c r="J85" s="149">
        <f>10</f>
        <v>10</v>
      </c>
      <c r="K85" s="146" t="str">
        <f>'Selected opps'!I94</f>
        <v/>
      </c>
      <c r="L85" s="125" t="str">
        <f>'Selected opps'!J94</f>
        <v/>
      </c>
      <c r="M85" s="146" t="str">
        <f>'Selected opps'!K94</f>
        <v/>
      </c>
      <c r="N85" s="125" t="str">
        <f>'Selected opps'!L94</f>
        <v/>
      </c>
      <c r="O85" s="21"/>
    </row>
    <row r="86" spans="1:15">
      <c r="A86" s="20"/>
      <c r="B86" s="41">
        <f>'Selected opps'!B95</f>
        <v>81</v>
      </c>
      <c r="C86" s="106"/>
      <c r="D86" s="155" t="str">
        <f>'Selected opps'!H95</f>
        <v/>
      </c>
      <c r="E86" s="146"/>
      <c r="F86" s="146"/>
      <c r="G86" s="147"/>
      <c r="H86" s="148" t="str">
        <f>'Selected opps'!N95</f>
        <v/>
      </c>
      <c r="I86" s="148"/>
      <c r="J86" s="149">
        <f>10</f>
        <v>10</v>
      </c>
      <c r="K86" s="146" t="str">
        <f>'Selected opps'!I95</f>
        <v/>
      </c>
      <c r="L86" s="125" t="str">
        <f>'Selected opps'!J95</f>
        <v/>
      </c>
      <c r="M86" s="146" t="str">
        <f>'Selected opps'!K95</f>
        <v/>
      </c>
      <c r="N86" s="125" t="str">
        <f>'Selected opps'!L95</f>
        <v/>
      </c>
      <c r="O86" s="21"/>
    </row>
    <row r="87" spans="1:15">
      <c r="A87" s="20"/>
      <c r="B87" s="41">
        <f>'Selected opps'!B96</f>
        <v>82</v>
      </c>
      <c r="C87" s="106"/>
      <c r="D87" s="155" t="str">
        <f>'Selected opps'!H96</f>
        <v/>
      </c>
      <c r="E87" s="146"/>
      <c r="F87" s="146"/>
      <c r="G87" s="147"/>
      <c r="H87" s="148" t="str">
        <f>'Selected opps'!N96</f>
        <v/>
      </c>
      <c r="I87" s="148"/>
      <c r="J87" s="149">
        <f>10</f>
        <v>10</v>
      </c>
      <c r="K87" s="146" t="str">
        <f>'Selected opps'!I96</f>
        <v/>
      </c>
      <c r="L87" s="125" t="str">
        <f>'Selected opps'!J96</f>
        <v/>
      </c>
      <c r="M87" s="146" t="str">
        <f>'Selected opps'!K96</f>
        <v/>
      </c>
      <c r="N87" s="125" t="str">
        <f>'Selected opps'!L96</f>
        <v/>
      </c>
      <c r="O87" s="21"/>
    </row>
    <row r="88" spans="1:15">
      <c r="A88" s="20"/>
      <c r="B88" s="41">
        <f>'Selected opps'!B97</f>
        <v>83</v>
      </c>
      <c r="C88" s="106"/>
      <c r="D88" s="155" t="str">
        <f>'Selected opps'!H97</f>
        <v/>
      </c>
      <c r="E88" s="146"/>
      <c r="F88" s="146"/>
      <c r="G88" s="147"/>
      <c r="H88" s="148" t="str">
        <f>'Selected opps'!N97</f>
        <v/>
      </c>
      <c r="I88" s="148"/>
      <c r="J88" s="149">
        <f>10</f>
        <v>10</v>
      </c>
      <c r="K88" s="146" t="str">
        <f>'Selected opps'!I97</f>
        <v/>
      </c>
      <c r="L88" s="125" t="str">
        <f>'Selected opps'!J97</f>
        <v/>
      </c>
      <c r="M88" s="146" t="str">
        <f>'Selected opps'!K97</f>
        <v/>
      </c>
      <c r="N88" s="125" t="str">
        <f>'Selected opps'!L97</f>
        <v/>
      </c>
      <c r="O88" s="21"/>
    </row>
    <row r="89" spans="1:15">
      <c r="A89" s="20"/>
      <c r="B89" s="41">
        <f>'Selected opps'!B98</f>
        <v>84</v>
      </c>
      <c r="C89" s="106"/>
      <c r="D89" s="155" t="str">
        <f>'Selected opps'!H98</f>
        <v/>
      </c>
      <c r="E89" s="146"/>
      <c r="F89" s="146"/>
      <c r="G89" s="147"/>
      <c r="H89" s="148" t="str">
        <f>'Selected opps'!N98</f>
        <v/>
      </c>
      <c r="I89" s="148"/>
      <c r="J89" s="149">
        <f>10</f>
        <v>10</v>
      </c>
      <c r="K89" s="146" t="str">
        <f>'Selected opps'!I98</f>
        <v/>
      </c>
      <c r="L89" s="125" t="str">
        <f>'Selected opps'!J98</f>
        <v/>
      </c>
      <c r="M89" s="146" t="str">
        <f>'Selected opps'!K98</f>
        <v/>
      </c>
      <c r="N89" s="125" t="str">
        <f>'Selected opps'!L98</f>
        <v/>
      </c>
      <c r="O89" s="21"/>
    </row>
    <row r="90" spans="1:15">
      <c r="A90" s="20"/>
      <c r="B90" s="41">
        <f>'Selected opps'!B99</f>
        <v>85</v>
      </c>
      <c r="C90" s="106"/>
      <c r="D90" s="155" t="str">
        <f>'Selected opps'!H99</f>
        <v/>
      </c>
      <c r="E90" s="146"/>
      <c r="F90" s="146"/>
      <c r="G90" s="147"/>
      <c r="H90" s="148" t="str">
        <f>'Selected opps'!N99</f>
        <v/>
      </c>
      <c r="I90" s="148"/>
      <c r="J90" s="149">
        <f>10</f>
        <v>10</v>
      </c>
      <c r="K90" s="146" t="str">
        <f>'Selected opps'!I99</f>
        <v/>
      </c>
      <c r="L90" s="125" t="str">
        <f>'Selected opps'!J99</f>
        <v/>
      </c>
      <c r="M90" s="146" t="str">
        <f>'Selected opps'!K99</f>
        <v/>
      </c>
      <c r="N90" s="125" t="str">
        <f>'Selected opps'!L99</f>
        <v/>
      </c>
      <c r="O90" s="21"/>
    </row>
    <row r="91" spans="1:15">
      <c r="A91" s="20"/>
      <c r="B91" s="41">
        <f>'Selected opps'!B100</f>
        <v>86</v>
      </c>
      <c r="C91" s="106"/>
      <c r="D91" s="155" t="str">
        <f>'Selected opps'!H100</f>
        <v/>
      </c>
      <c r="E91" s="146"/>
      <c r="F91" s="146"/>
      <c r="G91" s="147"/>
      <c r="H91" s="148" t="str">
        <f>'Selected opps'!N100</f>
        <v/>
      </c>
      <c r="I91" s="148"/>
      <c r="J91" s="149">
        <f>10</f>
        <v>10</v>
      </c>
      <c r="K91" s="146" t="str">
        <f>'Selected opps'!I100</f>
        <v/>
      </c>
      <c r="L91" s="125" t="str">
        <f>'Selected opps'!J100</f>
        <v/>
      </c>
      <c r="M91" s="146" t="str">
        <f>'Selected opps'!K100</f>
        <v/>
      </c>
      <c r="N91" s="125" t="str">
        <f>'Selected opps'!L100</f>
        <v/>
      </c>
      <c r="O91" s="21"/>
    </row>
    <row r="92" spans="1:15">
      <c r="A92" s="20"/>
      <c r="B92" s="41">
        <f>'Selected opps'!B101</f>
        <v>87</v>
      </c>
      <c r="C92" s="106"/>
      <c r="D92" s="155" t="str">
        <f>'Selected opps'!H101</f>
        <v/>
      </c>
      <c r="E92" s="146"/>
      <c r="F92" s="146"/>
      <c r="G92" s="147"/>
      <c r="H92" s="148" t="str">
        <f>'Selected opps'!N101</f>
        <v/>
      </c>
      <c r="I92" s="148"/>
      <c r="J92" s="149">
        <f>10</f>
        <v>10</v>
      </c>
      <c r="K92" s="146" t="str">
        <f>'Selected opps'!I101</f>
        <v/>
      </c>
      <c r="L92" s="125" t="str">
        <f>'Selected opps'!J101</f>
        <v/>
      </c>
      <c r="M92" s="146" t="str">
        <f>'Selected opps'!K101</f>
        <v/>
      </c>
      <c r="N92" s="125" t="str">
        <f>'Selected opps'!L101</f>
        <v/>
      </c>
      <c r="O92" s="21"/>
    </row>
    <row r="93" spans="1:15">
      <c r="A93" s="20"/>
      <c r="B93" s="41">
        <f>'Selected opps'!B102</f>
        <v>88</v>
      </c>
      <c r="C93" s="106"/>
      <c r="D93" s="155" t="str">
        <f>'Selected opps'!H102</f>
        <v/>
      </c>
      <c r="E93" s="146"/>
      <c r="F93" s="146"/>
      <c r="G93" s="147"/>
      <c r="H93" s="148" t="str">
        <f>'Selected opps'!N102</f>
        <v/>
      </c>
      <c r="I93" s="148"/>
      <c r="J93" s="149">
        <f>10</f>
        <v>10</v>
      </c>
      <c r="K93" s="146" t="str">
        <f>'Selected opps'!I102</f>
        <v/>
      </c>
      <c r="L93" s="125" t="str">
        <f>'Selected opps'!J102</f>
        <v/>
      </c>
      <c r="M93" s="146" t="str">
        <f>'Selected opps'!K102</f>
        <v/>
      </c>
      <c r="N93" s="125" t="str">
        <f>'Selected opps'!L102</f>
        <v/>
      </c>
      <c r="O93" s="21"/>
    </row>
    <row r="94" spans="1:15">
      <c r="A94" s="20"/>
      <c r="B94" s="41">
        <f>'Selected opps'!B103</f>
        <v>89</v>
      </c>
      <c r="C94" s="106"/>
      <c r="D94" s="155" t="str">
        <f>'Selected opps'!H103</f>
        <v/>
      </c>
      <c r="E94" s="146"/>
      <c r="F94" s="146"/>
      <c r="G94" s="147"/>
      <c r="H94" s="148" t="str">
        <f>'Selected opps'!N103</f>
        <v/>
      </c>
      <c r="I94" s="148"/>
      <c r="J94" s="149">
        <f>10</f>
        <v>10</v>
      </c>
      <c r="K94" s="146" t="str">
        <f>'Selected opps'!I103</f>
        <v/>
      </c>
      <c r="L94" s="125" t="str">
        <f>'Selected opps'!J103</f>
        <v/>
      </c>
      <c r="M94" s="146" t="str">
        <f>'Selected opps'!K103</f>
        <v/>
      </c>
      <c r="N94" s="125" t="str">
        <f>'Selected opps'!L103</f>
        <v/>
      </c>
      <c r="O94" s="21"/>
    </row>
    <row r="95" spans="1:15">
      <c r="A95" s="20"/>
      <c r="B95" s="41">
        <f>'Selected opps'!B104</f>
        <v>90</v>
      </c>
      <c r="C95" s="106"/>
      <c r="D95" s="155" t="str">
        <f>'Selected opps'!H104</f>
        <v/>
      </c>
      <c r="E95" s="146"/>
      <c r="F95" s="146"/>
      <c r="G95" s="147"/>
      <c r="H95" s="148" t="str">
        <f>'Selected opps'!N104</f>
        <v/>
      </c>
      <c r="I95" s="148"/>
      <c r="J95" s="149">
        <f>10</f>
        <v>10</v>
      </c>
      <c r="K95" s="146" t="str">
        <f>'Selected opps'!I104</f>
        <v/>
      </c>
      <c r="L95" s="125" t="str">
        <f>'Selected opps'!J104</f>
        <v/>
      </c>
      <c r="M95" s="146" t="str">
        <f>'Selected opps'!K104</f>
        <v/>
      </c>
      <c r="N95" s="125" t="str">
        <f>'Selected opps'!L104</f>
        <v/>
      </c>
      <c r="O95" s="21"/>
    </row>
    <row r="96" spans="1:15">
      <c r="A96" s="20"/>
      <c r="B96" s="41">
        <f>'Selected opps'!B105</f>
        <v>91</v>
      </c>
      <c r="C96" s="106"/>
      <c r="D96" s="155" t="str">
        <f>'Selected opps'!H105</f>
        <v/>
      </c>
      <c r="E96" s="146"/>
      <c r="F96" s="146"/>
      <c r="G96" s="147"/>
      <c r="H96" s="148" t="str">
        <f>'Selected opps'!N105</f>
        <v/>
      </c>
      <c r="I96" s="148"/>
      <c r="J96" s="149">
        <f>10</f>
        <v>10</v>
      </c>
      <c r="K96" s="146" t="str">
        <f>'Selected opps'!I105</f>
        <v/>
      </c>
      <c r="L96" s="125" t="str">
        <f>'Selected opps'!J105</f>
        <v/>
      </c>
      <c r="M96" s="146" t="str">
        <f>'Selected opps'!K105</f>
        <v/>
      </c>
      <c r="N96" s="125" t="str">
        <f>'Selected opps'!L105</f>
        <v/>
      </c>
      <c r="O96" s="21"/>
    </row>
    <row r="97" spans="1:15">
      <c r="A97" s="20"/>
      <c r="B97" s="41">
        <f>'Selected opps'!B106</f>
        <v>92</v>
      </c>
      <c r="C97" s="106"/>
      <c r="D97" s="155" t="str">
        <f>'Selected opps'!H106</f>
        <v/>
      </c>
      <c r="E97" s="146"/>
      <c r="F97" s="146"/>
      <c r="G97" s="147"/>
      <c r="H97" s="148" t="str">
        <f>'Selected opps'!N106</f>
        <v/>
      </c>
      <c r="I97" s="148"/>
      <c r="J97" s="149">
        <f>10</f>
        <v>10</v>
      </c>
      <c r="K97" s="146" t="str">
        <f>'Selected opps'!I106</f>
        <v/>
      </c>
      <c r="L97" s="125" t="str">
        <f>'Selected opps'!J106</f>
        <v/>
      </c>
      <c r="M97" s="146" t="str">
        <f>'Selected opps'!K106</f>
        <v/>
      </c>
      <c r="N97" s="125" t="str">
        <f>'Selected opps'!L106</f>
        <v/>
      </c>
      <c r="O97" s="21"/>
    </row>
    <row r="98" spans="1:15">
      <c r="A98" s="20"/>
      <c r="B98" s="41">
        <f>'Selected opps'!B107</f>
        <v>93</v>
      </c>
      <c r="C98" s="106"/>
      <c r="D98" s="155" t="str">
        <f>'Selected opps'!H107</f>
        <v/>
      </c>
      <c r="E98" s="146"/>
      <c r="F98" s="146"/>
      <c r="G98" s="147"/>
      <c r="H98" s="148" t="str">
        <f>'Selected opps'!N107</f>
        <v/>
      </c>
      <c r="I98" s="148"/>
      <c r="J98" s="149">
        <f>10</f>
        <v>10</v>
      </c>
      <c r="K98" s="146" t="str">
        <f>'Selected opps'!I107</f>
        <v/>
      </c>
      <c r="L98" s="125" t="str">
        <f>'Selected opps'!J107</f>
        <v/>
      </c>
      <c r="M98" s="146" t="str">
        <f>'Selected opps'!K107</f>
        <v/>
      </c>
      <c r="N98" s="125" t="str">
        <f>'Selected opps'!L107</f>
        <v/>
      </c>
      <c r="O98" s="21"/>
    </row>
    <row r="99" spans="1:15">
      <c r="A99" s="20"/>
      <c r="B99" s="41">
        <f>'Selected opps'!B108</f>
        <v>94</v>
      </c>
      <c r="C99" s="106"/>
      <c r="D99" s="155" t="str">
        <f>'Selected opps'!H108</f>
        <v/>
      </c>
      <c r="E99" s="146"/>
      <c r="F99" s="146"/>
      <c r="G99" s="147"/>
      <c r="H99" s="148" t="str">
        <f>'Selected opps'!N108</f>
        <v/>
      </c>
      <c r="I99" s="148"/>
      <c r="J99" s="149">
        <f>10</f>
        <v>10</v>
      </c>
      <c r="K99" s="146" t="str">
        <f>'Selected opps'!I108</f>
        <v/>
      </c>
      <c r="L99" s="125" t="str">
        <f>'Selected opps'!J108</f>
        <v/>
      </c>
      <c r="M99" s="146" t="str">
        <f>'Selected opps'!K108</f>
        <v/>
      </c>
      <c r="N99" s="125" t="str">
        <f>'Selected opps'!L108</f>
        <v/>
      </c>
      <c r="O99" s="21"/>
    </row>
    <row r="100" spans="1:15">
      <c r="A100" s="20"/>
      <c r="B100" s="41">
        <f>'Selected opps'!B109</f>
        <v>95</v>
      </c>
      <c r="C100" s="106"/>
      <c r="D100" s="155" t="str">
        <f>'Selected opps'!H109</f>
        <v/>
      </c>
      <c r="E100" s="146"/>
      <c r="F100" s="146"/>
      <c r="G100" s="147"/>
      <c r="H100" s="148" t="str">
        <f>'Selected opps'!N109</f>
        <v/>
      </c>
      <c r="I100" s="148"/>
      <c r="J100" s="149">
        <f>10</f>
        <v>10</v>
      </c>
      <c r="K100" s="146" t="str">
        <f>'Selected opps'!I109</f>
        <v/>
      </c>
      <c r="L100" s="125" t="str">
        <f>'Selected opps'!J109</f>
        <v/>
      </c>
      <c r="M100" s="146" t="str">
        <f>'Selected opps'!K109</f>
        <v/>
      </c>
      <c r="N100" s="125" t="str">
        <f>'Selected opps'!L109</f>
        <v/>
      </c>
      <c r="O100" s="21"/>
    </row>
    <row r="101" spans="1:15">
      <c r="A101" s="20"/>
      <c r="B101" s="41">
        <f>'Selected opps'!B110</f>
        <v>96</v>
      </c>
      <c r="C101" s="106"/>
      <c r="D101" s="155" t="str">
        <f>'Selected opps'!H110</f>
        <v/>
      </c>
      <c r="E101" s="146"/>
      <c r="F101" s="146"/>
      <c r="G101" s="147"/>
      <c r="H101" s="148" t="str">
        <f>'Selected opps'!N110</f>
        <v/>
      </c>
      <c r="I101" s="148"/>
      <c r="J101" s="149">
        <f>10</f>
        <v>10</v>
      </c>
      <c r="K101" s="146" t="str">
        <f>'Selected opps'!I110</f>
        <v/>
      </c>
      <c r="L101" s="125" t="str">
        <f>'Selected opps'!J110</f>
        <v/>
      </c>
      <c r="M101" s="146" t="str">
        <f>'Selected opps'!K110</f>
        <v/>
      </c>
      <c r="N101" s="125" t="str">
        <f>'Selected opps'!L110</f>
        <v/>
      </c>
      <c r="O101" s="21"/>
    </row>
    <row r="102" spans="1:15">
      <c r="A102" s="20"/>
      <c r="B102" s="41">
        <f>'Selected opps'!B111</f>
        <v>97</v>
      </c>
      <c r="C102" s="106"/>
      <c r="D102" s="155" t="str">
        <f>'Selected opps'!H111</f>
        <v/>
      </c>
      <c r="E102" s="146"/>
      <c r="F102" s="146"/>
      <c r="G102" s="147"/>
      <c r="H102" s="148" t="str">
        <f>'Selected opps'!N111</f>
        <v/>
      </c>
      <c r="I102" s="148"/>
      <c r="J102" s="149">
        <f>10</f>
        <v>10</v>
      </c>
      <c r="K102" s="146" t="str">
        <f>'Selected opps'!I111</f>
        <v/>
      </c>
      <c r="L102" s="125" t="str">
        <f>'Selected opps'!J111</f>
        <v/>
      </c>
      <c r="M102" s="146" t="str">
        <f>'Selected opps'!K111</f>
        <v/>
      </c>
      <c r="N102" s="125" t="str">
        <f>'Selected opps'!L111</f>
        <v/>
      </c>
      <c r="O102" s="21"/>
    </row>
    <row r="103" spans="1:15">
      <c r="A103" s="20"/>
      <c r="B103" s="41">
        <f>'Selected opps'!B112</f>
        <v>98</v>
      </c>
      <c r="C103" s="106"/>
      <c r="D103" s="155" t="str">
        <f>'Selected opps'!H112</f>
        <v/>
      </c>
      <c r="E103" s="146"/>
      <c r="F103" s="146"/>
      <c r="G103" s="147"/>
      <c r="H103" s="148" t="str">
        <f>'Selected opps'!N112</f>
        <v/>
      </c>
      <c r="I103" s="148"/>
      <c r="J103" s="149">
        <f>10</f>
        <v>10</v>
      </c>
      <c r="K103" s="146" t="str">
        <f>'Selected opps'!I112</f>
        <v/>
      </c>
      <c r="L103" s="125" t="str">
        <f>'Selected opps'!J112</f>
        <v/>
      </c>
      <c r="M103" s="146" t="str">
        <f>'Selected opps'!K112</f>
        <v/>
      </c>
      <c r="N103" s="125" t="str">
        <f>'Selected opps'!L112</f>
        <v/>
      </c>
      <c r="O103" s="21"/>
    </row>
    <row r="104" spans="1:15">
      <c r="A104" s="20"/>
      <c r="B104" s="41">
        <f>'Selected opps'!B113</f>
        <v>99</v>
      </c>
      <c r="C104" s="106"/>
      <c r="D104" s="155" t="str">
        <f>'Selected opps'!H113</f>
        <v/>
      </c>
      <c r="E104" s="146"/>
      <c r="F104" s="146"/>
      <c r="G104" s="147"/>
      <c r="H104" s="148" t="str">
        <f>'Selected opps'!N113</f>
        <v/>
      </c>
      <c r="I104" s="148"/>
      <c r="J104" s="149">
        <f>10</f>
        <v>10</v>
      </c>
      <c r="K104" s="146" t="str">
        <f>'Selected opps'!I113</f>
        <v/>
      </c>
      <c r="L104" s="125" t="str">
        <f>'Selected opps'!J113</f>
        <v/>
      </c>
      <c r="M104" s="146" t="str">
        <f>'Selected opps'!K113</f>
        <v/>
      </c>
      <c r="N104" s="125" t="str">
        <f>'Selected opps'!L113</f>
        <v/>
      </c>
      <c r="O104" s="21"/>
    </row>
    <row r="105" spans="1:15">
      <c r="A105" s="20"/>
      <c r="B105" s="41">
        <f>'Selected opps'!B114</f>
        <v>100</v>
      </c>
      <c r="C105" s="106"/>
      <c r="D105" s="155" t="str">
        <f>'Selected opps'!H114</f>
        <v/>
      </c>
      <c r="E105" s="146"/>
      <c r="F105" s="146"/>
      <c r="G105" s="147"/>
      <c r="H105" s="148" t="str">
        <f>'Selected opps'!N114</f>
        <v/>
      </c>
      <c r="I105" s="148"/>
      <c r="J105" s="149">
        <f>10</f>
        <v>10</v>
      </c>
      <c r="K105" s="146" t="str">
        <f>'Selected opps'!I114</f>
        <v/>
      </c>
      <c r="L105" s="125" t="str">
        <f>'Selected opps'!J114</f>
        <v/>
      </c>
      <c r="M105" s="146" t="str">
        <f>'Selected opps'!K114</f>
        <v/>
      </c>
      <c r="N105" s="125" t="str">
        <f>'Selected opps'!L114</f>
        <v/>
      </c>
      <c r="O105" s="21"/>
    </row>
  </sheetData>
  <phoneticPr fontId="5" type="noConversion"/>
  <conditionalFormatting sqref="F6:F105">
    <cfRule type="cellIs" dxfId="0" priority="1" stopIfTrue="1" operator="lessThan">
      <formula>E6</formula>
    </cfRule>
  </conditionalFormatting>
  <hyperlinks>
    <hyperlink ref="L5" r:id="rId1" display="http://www.lse.ac.uk/intranet/LSEServices/estatesDivision/sustainableLSE/policyObjectives/communityInvolvement/LUEG/CarbonReduction/Documents/Resources/091016LUEG-CRSG-CarbonTrust-HERapidAssessmentPotential.xls"/>
    <hyperlink ref="N5" r:id="rId2" display="http://www.lse.ac.uk/intranet/LSEServices/estatesDivision/sustainableLSE/policyObjectives/communityInvolvement/LUEG/CarbonReduction/Documents/Resources/091016LUEG-CRSG-CarbonTrust-HERapidAssessmentPotential.xls"/>
  </hyperlinks>
  <pageMargins left="0.75" right="0.75" top="1" bottom="1" header="0.5" footer="0.5"/>
  <pageSetup paperSize="9" orientation="portrait" horizontalDpi="300" verticalDpi="300"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sheetPr codeName="Sheet2"/>
  <dimension ref="A2:O146"/>
  <sheetViews>
    <sheetView tabSelected="1" workbookViewId="0">
      <selection activeCell="B21" sqref="B5:B21"/>
    </sheetView>
  </sheetViews>
  <sheetFormatPr defaultRowHeight="12.75"/>
  <cols>
    <col min="1" max="1" width="3.5703125" style="13" customWidth="1"/>
    <col min="2" max="2" width="28.140625" style="13" customWidth="1"/>
    <col min="3" max="3" width="18" style="13" customWidth="1"/>
    <col min="4" max="4" width="16.7109375" style="13" customWidth="1"/>
    <col min="5" max="5" width="13.42578125" style="13" customWidth="1"/>
    <col min="6" max="16384" width="9.140625" style="13"/>
  </cols>
  <sheetData>
    <row r="2" spans="1:15" ht="20.25">
      <c r="B2" s="12" t="s">
        <v>93</v>
      </c>
    </row>
    <row r="3" spans="1:15">
      <c r="B3" s="22"/>
      <c r="C3" s="22"/>
      <c r="D3" s="22"/>
      <c r="E3" s="22"/>
      <c r="F3" s="22"/>
      <c r="G3" s="22"/>
      <c r="H3" s="22"/>
      <c r="I3" s="22"/>
    </row>
    <row r="4" spans="1:15" ht="52.5">
      <c r="A4" s="20"/>
      <c r="B4" s="28"/>
      <c r="C4" s="140" t="s">
        <v>96</v>
      </c>
      <c r="D4" s="140" t="s">
        <v>97</v>
      </c>
      <c r="E4" s="269" t="s">
        <v>83</v>
      </c>
      <c r="F4" s="270"/>
      <c r="G4" s="270"/>
      <c r="H4" s="270"/>
      <c r="I4" s="270"/>
      <c r="J4" s="21"/>
    </row>
    <row r="5" spans="1:15">
      <c r="A5" s="20"/>
      <c r="B5" s="42" t="s">
        <v>250</v>
      </c>
      <c r="C5" s="239">
        <v>80</v>
      </c>
      <c r="D5" s="239">
        <v>24</v>
      </c>
      <c r="E5" s="268" t="s">
        <v>251</v>
      </c>
      <c r="F5" s="264"/>
      <c r="G5" s="264"/>
      <c r="H5" s="264"/>
      <c r="I5" s="265"/>
      <c r="J5" s="21"/>
    </row>
    <row r="6" spans="1:15">
      <c r="A6" s="20"/>
      <c r="B6" s="42" t="s">
        <v>237</v>
      </c>
      <c r="C6" s="226">
        <v>149</v>
      </c>
      <c r="D6" s="226">
        <v>257</v>
      </c>
      <c r="E6" s="266" t="s">
        <v>235</v>
      </c>
      <c r="F6" s="267"/>
      <c r="G6" s="267"/>
      <c r="H6" s="267"/>
      <c r="I6" s="267"/>
      <c r="J6" s="21"/>
    </row>
    <row r="7" spans="1:15">
      <c r="A7" s="20"/>
      <c r="B7" s="42" t="s">
        <v>227</v>
      </c>
      <c r="C7" s="226">
        <v>218</v>
      </c>
      <c r="D7" s="226">
        <v>618</v>
      </c>
      <c r="E7" s="266" t="s">
        <v>235</v>
      </c>
      <c r="F7" s="267"/>
      <c r="G7" s="267"/>
      <c r="H7" s="267"/>
      <c r="I7" s="267"/>
      <c r="J7" s="21"/>
    </row>
    <row r="8" spans="1:15">
      <c r="A8" s="20"/>
      <c r="B8" s="42" t="s">
        <v>228</v>
      </c>
      <c r="C8" s="226">
        <v>100</v>
      </c>
      <c r="D8" s="226">
        <v>290</v>
      </c>
      <c r="E8" s="266" t="s">
        <v>235</v>
      </c>
      <c r="F8" s="267"/>
      <c r="G8" s="267"/>
      <c r="H8" s="267"/>
      <c r="I8" s="267"/>
      <c r="J8" s="21"/>
    </row>
    <row r="9" spans="1:15">
      <c r="A9" s="20"/>
      <c r="B9" s="42" t="s">
        <v>229</v>
      </c>
      <c r="C9" s="226">
        <v>76</v>
      </c>
      <c r="D9" s="226">
        <v>120</v>
      </c>
      <c r="E9" s="266" t="s">
        <v>235</v>
      </c>
      <c r="F9" s="267"/>
      <c r="G9" s="267"/>
      <c r="H9" s="267"/>
      <c r="I9" s="267"/>
      <c r="J9" s="21"/>
      <c r="K9" s="271"/>
      <c r="L9" s="272"/>
      <c r="M9" s="272"/>
      <c r="N9" s="272"/>
      <c r="O9" s="273"/>
    </row>
    <row r="10" spans="1:15">
      <c r="A10" s="20"/>
      <c r="B10" s="42" t="s">
        <v>230</v>
      </c>
      <c r="C10" s="226">
        <v>129</v>
      </c>
      <c r="D10" s="226">
        <v>132</v>
      </c>
      <c r="E10" s="266" t="s">
        <v>235</v>
      </c>
      <c r="F10" s="267"/>
      <c r="G10" s="267"/>
      <c r="H10" s="267"/>
      <c r="I10" s="267"/>
      <c r="J10" s="21"/>
    </row>
    <row r="11" spans="1:15">
      <c r="B11" s="42" t="s">
        <v>231</v>
      </c>
      <c r="C11" s="226">
        <v>404</v>
      </c>
      <c r="D11" s="226">
        <v>245</v>
      </c>
      <c r="E11" s="266" t="s">
        <v>235</v>
      </c>
      <c r="F11" s="267"/>
      <c r="G11" s="267"/>
      <c r="H11" s="267"/>
      <c r="I11" s="267"/>
      <c r="J11" s="21"/>
    </row>
    <row r="12" spans="1:15">
      <c r="B12" s="42" t="s">
        <v>232</v>
      </c>
      <c r="C12" s="226">
        <v>64</v>
      </c>
      <c r="D12" s="226">
        <v>161</v>
      </c>
      <c r="E12" s="266" t="s">
        <v>235</v>
      </c>
      <c r="F12" s="267"/>
      <c r="G12" s="267"/>
      <c r="H12" s="267"/>
      <c r="I12" s="267"/>
      <c r="J12" s="227"/>
    </row>
    <row r="13" spans="1:15">
      <c r="B13" s="42" t="s">
        <v>233</v>
      </c>
      <c r="C13" s="226">
        <v>54</v>
      </c>
      <c r="D13" s="226">
        <v>240</v>
      </c>
      <c r="E13" s="266" t="s">
        <v>235</v>
      </c>
      <c r="F13" s="267"/>
      <c r="G13" s="267"/>
      <c r="H13" s="267"/>
      <c r="I13" s="267"/>
      <c r="J13" s="227"/>
    </row>
    <row r="14" spans="1:15">
      <c r="B14" s="42" t="s">
        <v>234</v>
      </c>
      <c r="C14" s="226">
        <v>175</v>
      </c>
      <c r="D14" s="226">
        <v>132</v>
      </c>
      <c r="E14" s="266" t="s">
        <v>235</v>
      </c>
      <c r="F14" s="267"/>
      <c r="G14" s="267"/>
      <c r="H14" s="267"/>
      <c r="I14" s="267"/>
      <c r="J14" s="227"/>
    </row>
    <row r="15" spans="1:15">
      <c r="B15" s="42" t="s">
        <v>242</v>
      </c>
      <c r="C15" s="226">
        <v>304.3</v>
      </c>
      <c r="D15" s="226">
        <v>170.85</v>
      </c>
      <c r="E15" s="263" t="s">
        <v>252</v>
      </c>
      <c r="F15" s="264"/>
      <c r="G15" s="264"/>
      <c r="H15" s="264"/>
      <c r="I15" s="265"/>
      <c r="J15" s="227"/>
    </row>
    <row r="16" spans="1:15">
      <c r="B16" s="42" t="s">
        <v>243</v>
      </c>
      <c r="C16" s="226">
        <v>203.4</v>
      </c>
      <c r="D16" s="226">
        <v>160.19999999999999</v>
      </c>
      <c r="E16" s="263" t="s">
        <v>252</v>
      </c>
      <c r="F16" s="264"/>
      <c r="G16" s="264"/>
      <c r="H16" s="264"/>
      <c r="I16" s="265"/>
      <c r="J16" s="227"/>
    </row>
    <row r="17" spans="1:11">
      <c r="B17" s="42" t="s">
        <v>244</v>
      </c>
      <c r="C17" s="226">
        <v>51.3</v>
      </c>
      <c r="D17" s="226">
        <v>143.44999999999999</v>
      </c>
      <c r="E17" s="263" t="s">
        <v>252</v>
      </c>
      <c r="F17" s="264"/>
      <c r="G17" s="264"/>
      <c r="H17" s="264"/>
      <c r="I17" s="265"/>
      <c r="J17" s="227"/>
    </row>
    <row r="18" spans="1:11">
      <c r="B18" s="42" t="s">
        <v>245</v>
      </c>
      <c r="C18" s="226">
        <v>80.75</v>
      </c>
      <c r="D18" s="226">
        <v>143.44999999999999</v>
      </c>
      <c r="E18" s="263" t="s">
        <v>252</v>
      </c>
      <c r="F18" s="264"/>
      <c r="G18" s="264"/>
      <c r="H18" s="264"/>
      <c r="I18" s="265"/>
      <c r="J18" s="227"/>
    </row>
    <row r="19" spans="1:11">
      <c r="B19" s="42" t="s">
        <v>246</v>
      </c>
      <c r="C19" s="226">
        <v>105</v>
      </c>
      <c r="D19" s="226">
        <v>343</v>
      </c>
      <c r="E19" s="263" t="s">
        <v>249</v>
      </c>
      <c r="F19" s="264"/>
      <c r="G19" s="264"/>
      <c r="H19" s="264"/>
      <c r="I19" s="265"/>
      <c r="J19" s="227"/>
    </row>
    <row r="20" spans="1:11">
      <c r="B20" s="42" t="s">
        <v>247</v>
      </c>
      <c r="C20" s="226">
        <v>258</v>
      </c>
      <c r="D20" s="226">
        <v>1321</v>
      </c>
      <c r="E20" s="263" t="s">
        <v>249</v>
      </c>
      <c r="F20" s="264"/>
      <c r="G20" s="264"/>
      <c r="H20" s="264"/>
      <c r="I20" s="265"/>
      <c r="J20" s="227"/>
    </row>
    <row r="21" spans="1:11">
      <c r="B21" s="42" t="s">
        <v>248</v>
      </c>
      <c r="C21" s="226">
        <v>237</v>
      </c>
      <c r="D21" s="226">
        <v>1336</v>
      </c>
      <c r="E21" s="263" t="s">
        <v>249</v>
      </c>
      <c r="F21" s="264"/>
      <c r="G21" s="264"/>
      <c r="H21" s="264"/>
      <c r="I21" s="265"/>
      <c r="J21" s="227"/>
    </row>
    <row r="22" spans="1:11">
      <c r="J22" s="227"/>
    </row>
    <row r="23" spans="1:11">
      <c r="B23" s="87"/>
      <c r="C23" s="87"/>
      <c r="D23" s="87"/>
      <c r="E23" s="87"/>
      <c r="F23" s="87"/>
      <c r="G23" s="87"/>
      <c r="H23" s="87"/>
      <c r="I23" s="87"/>
      <c r="J23" s="22"/>
    </row>
    <row r="24" spans="1:11">
      <c r="B24" s="22"/>
      <c r="C24" s="22"/>
      <c r="D24" s="22"/>
      <c r="E24" s="22"/>
      <c r="F24" s="22"/>
      <c r="G24" s="22"/>
      <c r="H24" s="22"/>
      <c r="I24" s="22"/>
      <c r="J24" s="22"/>
    </row>
    <row r="25" spans="1:11" ht="12.75" customHeight="1">
      <c r="A25" s="20"/>
      <c r="B25" s="141" t="s">
        <v>80</v>
      </c>
      <c r="C25" s="141" t="s">
        <v>98</v>
      </c>
      <c r="D25" s="269" t="s">
        <v>83</v>
      </c>
      <c r="E25" s="269"/>
      <c r="F25" s="269"/>
      <c r="G25" s="269"/>
      <c r="H25" s="269"/>
      <c r="I25" s="269"/>
      <c r="J25" s="269"/>
      <c r="K25" s="21"/>
    </row>
    <row r="26" spans="1:11">
      <c r="A26" s="20"/>
      <c r="B26" s="28" t="s">
        <v>81</v>
      </c>
      <c r="C26" s="28">
        <v>0.53702000000000005</v>
      </c>
      <c r="D26" s="266" t="s">
        <v>84</v>
      </c>
      <c r="E26" s="266"/>
      <c r="F26" s="266"/>
      <c r="G26" s="266"/>
      <c r="H26" s="266"/>
      <c r="I26" s="266"/>
      <c r="J26" s="266"/>
      <c r="K26" s="21"/>
    </row>
    <row r="27" spans="1:11">
      <c r="A27" s="20"/>
      <c r="B27" s="28" t="s">
        <v>82</v>
      </c>
      <c r="C27" s="28">
        <v>0.18497</v>
      </c>
      <c r="D27" s="266" t="s">
        <v>85</v>
      </c>
      <c r="E27" s="266"/>
      <c r="F27" s="266"/>
      <c r="G27" s="266"/>
      <c r="H27" s="266"/>
      <c r="I27" s="266"/>
      <c r="J27" s="266"/>
      <c r="K27" s="21"/>
    </row>
    <row r="28" spans="1:11">
      <c r="A28" s="20"/>
      <c r="B28" s="28" t="s">
        <v>118</v>
      </c>
      <c r="C28" s="28">
        <f>C32/C42</f>
        <v>0.2411875</v>
      </c>
      <c r="D28" s="263" t="s">
        <v>212</v>
      </c>
      <c r="E28" s="274"/>
      <c r="F28" s="274"/>
      <c r="G28" s="274"/>
      <c r="H28" s="274"/>
      <c r="I28" s="274"/>
      <c r="J28" s="275"/>
      <c r="K28" s="21"/>
    </row>
    <row r="29" spans="1:11">
      <c r="A29" s="20"/>
      <c r="B29" s="28" t="s">
        <v>119</v>
      </c>
      <c r="C29" s="28">
        <f>C33/C43</f>
        <v>0.24355555555555553</v>
      </c>
      <c r="D29" s="263" t="s">
        <v>212</v>
      </c>
      <c r="E29" s="274"/>
      <c r="F29" s="274"/>
      <c r="G29" s="274"/>
      <c r="H29" s="274"/>
      <c r="I29" s="274"/>
      <c r="J29" s="275"/>
      <c r="K29" s="21"/>
    </row>
    <row r="30" spans="1:11">
      <c r="A30" s="20"/>
      <c r="B30" s="28" t="s">
        <v>210</v>
      </c>
      <c r="C30" s="28">
        <v>0.25800000000000001</v>
      </c>
      <c r="D30" s="266" t="s">
        <v>211</v>
      </c>
      <c r="E30" s="266"/>
      <c r="F30" s="266"/>
      <c r="G30" s="266"/>
      <c r="H30" s="266"/>
      <c r="I30" s="266"/>
      <c r="J30" s="266"/>
      <c r="K30" s="21"/>
    </row>
    <row r="31" spans="1:11" ht="14.25">
      <c r="A31" s="20"/>
      <c r="B31" s="28"/>
      <c r="C31" s="141" t="s">
        <v>99</v>
      </c>
      <c r="D31" s="266"/>
      <c r="E31" s="266"/>
      <c r="F31" s="266"/>
      <c r="G31" s="266"/>
      <c r="H31" s="266"/>
      <c r="I31" s="266"/>
      <c r="J31" s="266"/>
      <c r="K31" s="21"/>
    </row>
    <row r="32" spans="1:11">
      <c r="A32" s="20"/>
      <c r="B32" s="28" t="s">
        <v>89</v>
      </c>
      <c r="C32" s="28">
        <v>2.3153999999999999</v>
      </c>
      <c r="D32" s="266" t="s">
        <v>86</v>
      </c>
      <c r="E32" s="266"/>
      <c r="F32" s="266"/>
      <c r="G32" s="266"/>
      <c r="H32" s="266"/>
      <c r="I32" s="266"/>
      <c r="J32" s="266"/>
      <c r="K32" s="21"/>
    </row>
    <row r="33" spans="1:11">
      <c r="A33" s="20"/>
      <c r="B33" s="28" t="s">
        <v>90</v>
      </c>
      <c r="C33" s="28">
        <v>2.6303999999999998</v>
      </c>
      <c r="D33" s="266" t="s">
        <v>86</v>
      </c>
      <c r="E33" s="266"/>
      <c r="F33" s="266"/>
      <c r="G33" s="266"/>
      <c r="H33" s="266"/>
      <c r="I33" s="266"/>
      <c r="J33" s="266"/>
      <c r="K33" s="21"/>
    </row>
    <row r="34" spans="1:11">
      <c r="A34" s="20"/>
      <c r="B34" s="28"/>
      <c r="C34" s="228"/>
      <c r="D34" s="229"/>
      <c r="E34" s="229"/>
      <c r="F34" s="229"/>
      <c r="G34" s="229"/>
      <c r="H34" s="229"/>
      <c r="I34" s="229"/>
      <c r="J34" s="230"/>
      <c r="K34" s="21"/>
    </row>
    <row r="35" spans="1:11" ht="14.25">
      <c r="A35" s="20"/>
      <c r="B35" s="28"/>
      <c r="C35" s="141" t="s">
        <v>100</v>
      </c>
      <c r="D35" s="266"/>
      <c r="E35" s="266"/>
      <c r="F35" s="266"/>
      <c r="G35" s="266"/>
      <c r="H35" s="266"/>
      <c r="I35" s="266"/>
      <c r="J35" s="266"/>
      <c r="K35" s="21"/>
    </row>
    <row r="36" spans="1:11">
      <c r="A36" s="20"/>
      <c r="B36" s="28" t="s">
        <v>87</v>
      </c>
      <c r="C36" s="28">
        <v>0.20699999999999999</v>
      </c>
      <c r="D36" s="266" t="s">
        <v>86</v>
      </c>
      <c r="E36" s="266"/>
      <c r="F36" s="266"/>
      <c r="G36" s="266"/>
      <c r="H36" s="266"/>
      <c r="I36" s="266"/>
      <c r="J36" s="266"/>
      <c r="K36" s="21"/>
    </row>
    <row r="37" spans="1:11">
      <c r="A37" s="20"/>
      <c r="B37" s="28" t="s">
        <v>88</v>
      </c>
      <c r="C37" s="28">
        <v>0.19789999999999999</v>
      </c>
      <c r="D37" s="266" t="s">
        <v>86</v>
      </c>
      <c r="E37" s="266"/>
      <c r="F37" s="266"/>
      <c r="G37" s="266"/>
      <c r="H37" s="266"/>
      <c r="I37" s="266"/>
      <c r="J37" s="266"/>
      <c r="K37" s="21"/>
    </row>
    <row r="38" spans="1:11">
      <c r="A38" s="20"/>
      <c r="B38" s="142"/>
      <c r="C38" s="143" t="s">
        <v>94</v>
      </c>
      <c r="D38" s="266"/>
      <c r="E38" s="266"/>
      <c r="F38" s="266"/>
      <c r="G38" s="266"/>
      <c r="H38" s="266"/>
      <c r="I38" s="266"/>
      <c r="J38" s="266"/>
      <c r="K38" s="21"/>
    </row>
    <row r="39" spans="1:11">
      <c r="A39" s="20"/>
      <c r="B39" s="142" t="s">
        <v>87</v>
      </c>
      <c r="C39" s="142">
        <f>C36/C32</f>
        <v>8.9401399326250325E-2</v>
      </c>
      <c r="D39" s="266" t="s">
        <v>95</v>
      </c>
      <c r="E39" s="266"/>
      <c r="F39" s="266"/>
      <c r="G39" s="266"/>
      <c r="H39" s="266"/>
      <c r="I39" s="266"/>
      <c r="J39" s="266"/>
      <c r="K39" s="21"/>
    </row>
    <row r="40" spans="1:11">
      <c r="A40" s="20"/>
      <c r="B40" s="142" t="s">
        <v>88</v>
      </c>
      <c r="C40" s="142">
        <f>C37/C33</f>
        <v>7.5235705596107053E-2</v>
      </c>
      <c r="D40" s="266" t="s">
        <v>95</v>
      </c>
      <c r="E40" s="266"/>
      <c r="F40" s="266"/>
      <c r="G40" s="266"/>
      <c r="H40" s="266"/>
      <c r="I40" s="266"/>
      <c r="J40" s="266"/>
      <c r="K40" s="21"/>
    </row>
    <row r="41" spans="1:11">
      <c r="A41" s="20"/>
      <c r="B41" s="142"/>
      <c r="C41" s="143" t="s">
        <v>157</v>
      </c>
      <c r="D41" s="266"/>
      <c r="E41" s="266"/>
      <c r="F41" s="266"/>
      <c r="G41" s="266"/>
      <c r="H41" s="266"/>
      <c r="I41" s="266"/>
      <c r="J41" s="266"/>
      <c r="K41" s="21"/>
    </row>
    <row r="42" spans="1:11">
      <c r="A42" s="20"/>
      <c r="B42" s="142" t="s">
        <v>87</v>
      </c>
      <c r="C42" s="142">
        <v>9.6</v>
      </c>
      <c r="D42" s="266"/>
      <c r="E42" s="266"/>
      <c r="F42" s="266"/>
      <c r="G42" s="266"/>
      <c r="H42" s="266"/>
      <c r="I42" s="266"/>
      <c r="J42" s="266"/>
      <c r="K42" s="21"/>
    </row>
    <row r="43" spans="1:11">
      <c r="A43" s="20"/>
      <c r="B43" s="142" t="s">
        <v>88</v>
      </c>
      <c r="C43" s="142">
        <v>10.8</v>
      </c>
      <c r="D43" s="266"/>
      <c r="E43" s="266"/>
      <c r="F43" s="266"/>
      <c r="G43" s="266"/>
      <c r="H43" s="266"/>
      <c r="I43" s="266"/>
      <c r="J43" s="266"/>
      <c r="K43" s="21"/>
    </row>
    <row r="44" spans="1:11">
      <c r="B44" s="23"/>
      <c r="C44" s="23"/>
      <c r="D44" s="23"/>
      <c r="E44" s="23"/>
      <c r="F44" s="23"/>
      <c r="G44" s="23"/>
      <c r="H44" s="23"/>
      <c r="I44" s="23"/>
      <c r="J44" s="23"/>
    </row>
    <row r="47" spans="1:11">
      <c r="B47" s="22"/>
      <c r="C47" s="22"/>
      <c r="D47" s="22"/>
      <c r="E47" s="22"/>
      <c r="F47" s="22"/>
      <c r="G47" s="22"/>
      <c r="H47" s="22"/>
      <c r="I47" s="22"/>
    </row>
    <row r="48" spans="1:11">
      <c r="A48" s="20"/>
      <c r="B48" s="141" t="s">
        <v>78</v>
      </c>
      <c r="C48" s="28"/>
      <c r="D48" s="28"/>
      <c r="E48" s="269" t="s">
        <v>83</v>
      </c>
      <c r="F48" s="269"/>
      <c r="G48" s="269"/>
      <c r="H48" s="269"/>
      <c r="I48" s="269"/>
      <c r="J48" s="21"/>
    </row>
    <row r="49" spans="1:10" ht="15.75" customHeight="1">
      <c r="A49" s="20"/>
      <c r="B49" s="28" t="s">
        <v>66</v>
      </c>
      <c r="C49" s="144">
        <v>79</v>
      </c>
      <c r="D49" s="28" t="s">
        <v>101</v>
      </c>
      <c r="E49" s="266" t="s">
        <v>92</v>
      </c>
      <c r="F49" s="266"/>
      <c r="G49" s="266"/>
      <c r="H49" s="266"/>
      <c r="I49" s="266"/>
      <c r="J49" s="21"/>
    </row>
    <row r="50" spans="1:10">
      <c r="A50" s="20"/>
      <c r="B50" s="28" t="s">
        <v>67</v>
      </c>
      <c r="C50" s="144" t="s">
        <v>91</v>
      </c>
      <c r="D50" s="28"/>
      <c r="E50" s="266"/>
      <c r="F50" s="266"/>
      <c r="G50" s="266"/>
      <c r="H50" s="266"/>
      <c r="I50" s="266"/>
      <c r="J50" s="21"/>
    </row>
    <row r="51" spans="1:10" ht="15.75" customHeight="1">
      <c r="A51" s="20"/>
      <c r="B51" s="28" t="s">
        <v>69</v>
      </c>
      <c r="C51" s="144">
        <v>3500</v>
      </c>
      <c r="D51" s="28" t="s">
        <v>102</v>
      </c>
      <c r="E51" s="266" t="s">
        <v>92</v>
      </c>
      <c r="F51" s="266"/>
      <c r="G51" s="266"/>
      <c r="H51" s="266"/>
      <c r="I51" s="266"/>
      <c r="J51" s="21"/>
    </row>
    <row r="52" spans="1:10" ht="15.75" customHeight="1">
      <c r="A52" s="20"/>
      <c r="B52" s="28" t="s">
        <v>71</v>
      </c>
      <c r="C52" s="144">
        <v>2000000</v>
      </c>
      <c r="D52" s="28" t="s">
        <v>102</v>
      </c>
      <c r="E52" s="266" t="s">
        <v>92</v>
      </c>
      <c r="F52" s="266"/>
      <c r="G52" s="266"/>
      <c r="H52" s="266"/>
      <c r="I52" s="266"/>
      <c r="J52" s="21"/>
    </row>
    <row r="53" spans="1:10" ht="15.75" customHeight="1">
      <c r="A53" s="20"/>
      <c r="B53" s="28" t="s">
        <v>72</v>
      </c>
      <c r="C53" s="144">
        <v>263</v>
      </c>
      <c r="D53" s="28" t="s">
        <v>103</v>
      </c>
      <c r="E53" s="266" t="s">
        <v>92</v>
      </c>
      <c r="F53" s="266"/>
      <c r="G53" s="266"/>
      <c r="H53" s="266"/>
      <c r="I53" s="266"/>
      <c r="J53" s="21"/>
    </row>
    <row r="54" spans="1:10">
      <c r="B54" s="23"/>
      <c r="C54" s="23"/>
      <c r="D54" s="23"/>
      <c r="E54" s="23"/>
      <c r="F54" s="23"/>
      <c r="G54" s="23"/>
      <c r="H54" s="23"/>
      <c r="I54" s="23"/>
    </row>
    <row r="55" spans="1:10" ht="15.75">
      <c r="A55" s="27" t="s">
        <v>115</v>
      </c>
      <c r="B55" s="22"/>
      <c r="C55" s="22"/>
      <c r="D55" s="22"/>
      <c r="J55" s="18"/>
    </row>
    <row r="56" spans="1:10">
      <c r="A56" s="20"/>
      <c r="B56" s="28" t="s">
        <v>116</v>
      </c>
      <c r="C56" s="32">
        <v>8</v>
      </c>
      <c r="D56" s="28" t="s">
        <v>120</v>
      </c>
      <c r="E56" s="21"/>
      <c r="J56" s="18"/>
    </row>
    <row r="57" spans="1:10">
      <c r="A57" s="20"/>
      <c r="B57" s="28" t="s">
        <v>117</v>
      </c>
      <c r="C57" s="32">
        <v>3</v>
      </c>
      <c r="D57" s="28" t="s">
        <v>120</v>
      </c>
      <c r="E57" s="21"/>
      <c r="J57" s="18"/>
    </row>
    <row r="58" spans="1:10">
      <c r="A58" s="20"/>
      <c r="B58" s="28" t="s">
        <v>118</v>
      </c>
      <c r="C58" s="32">
        <v>90</v>
      </c>
      <c r="D58" s="28" t="s">
        <v>121</v>
      </c>
      <c r="E58" s="21"/>
      <c r="J58" s="18"/>
    </row>
    <row r="59" spans="1:10">
      <c r="A59" s="20"/>
      <c r="B59" s="28" t="s">
        <v>119</v>
      </c>
      <c r="C59" s="32">
        <v>90</v>
      </c>
      <c r="D59" s="28" t="s">
        <v>121</v>
      </c>
      <c r="E59" s="21"/>
      <c r="J59" s="18"/>
    </row>
    <row r="60" spans="1:10">
      <c r="A60" s="20"/>
      <c r="B60" s="28" t="s">
        <v>118</v>
      </c>
      <c r="C60" s="33">
        <f>C58/C42</f>
        <v>9.375</v>
      </c>
      <c r="D60" s="28" t="s">
        <v>216</v>
      </c>
      <c r="E60" s="21"/>
      <c r="J60" s="18"/>
    </row>
    <row r="61" spans="1:10">
      <c r="A61" s="20"/>
      <c r="B61" s="28" t="s">
        <v>119</v>
      </c>
      <c r="C61" s="33">
        <f>C59/C43</f>
        <v>8.3333333333333321</v>
      </c>
      <c r="D61" s="28" t="s">
        <v>216</v>
      </c>
      <c r="E61" s="21"/>
      <c r="J61" s="18"/>
    </row>
    <row r="62" spans="1:10">
      <c r="A62" s="20"/>
      <c r="B62" s="28" t="s">
        <v>210</v>
      </c>
      <c r="C62" s="225"/>
      <c r="D62" s="28" t="s">
        <v>216</v>
      </c>
      <c r="E62" s="21"/>
      <c r="J62" s="18"/>
    </row>
    <row r="63" spans="1:10">
      <c r="A63" s="20"/>
      <c r="B63" s="28" t="s">
        <v>118</v>
      </c>
      <c r="C63" s="33">
        <f>($C$58/((38/4.551)*1.609))</f>
        <v>6.6989957803146778</v>
      </c>
      <c r="D63" s="28" t="s">
        <v>129</v>
      </c>
      <c r="E63" s="21"/>
      <c r="J63" s="18"/>
    </row>
    <row r="64" spans="1:10">
      <c r="A64" s="20"/>
      <c r="B64" s="28" t="s">
        <v>119</v>
      </c>
      <c r="C64" s="33">
        <f>($C$59/((57/4.551)*1.609))</f>
        <v>4.4659971868764519</v>
      </c>
      <c r="D64" s="28" t="s">
        <v>129</v>
      </c>
      <c r="E64" s="21"/>
      <c r="J64" s="18"/>
    </row>
    <row r="65" spans="1:10">
      <c r="B65" s="28" t="s">
        <v>118</v>
      </c>
      <c r="C65" s="33">
        <f>C58/C32</f>
        <v>38.870173620108837</v>
      </c>
      <c r="D65" s="28" t="s">
        <v>206</v>
      </c>
      <c r="J65" s="18"/>
    </row>
    <row r="66" spans="1:10">
      <c r="A66" s="20"/>
      <c r="B66" s="172" t="s">
        <v>119</v>
      </c>
      <c r="C66" s="33">
        <f>C59/C33</f>
        <v>34.215328467153284</v>
      </c>
      <c r="D66" s="28" t="s">
        <v>206</v>
      </c>
      <c r="J66" s="18"/>
    </row>
    <row r="67" spans="1:10">
      <c r="A67" s="20"/>
      <c r="B67" s="28" t="s">
        <v>210</v>
      </c>
      <c r="C67" s="173"/>
      <c r="D67" s="28" t="s">
        <v>206</v>
      </c>
    </row>
    <row r="68" spans="1:10">
      <c r="B68" s="23"/>
      <c r="C68" s="23"/>
      <c r="D68" s="171"/>
    </row>
    <row r="69" spans="1:10">
      <c r="B69" s="15" t="s">
        <v>236</v>
      </c>
    </row>
    <row r="140" spans="1:3">
      <c r="B140" s="22"/>
    </row>
    <row r="141" spans="1:3">
      <c r="A141" s="20"/>
      <c r="B141" s="28" t="s">
        <v>123</v>
      </c>
      <c r="C141" s="21"/>
    </row>
    <row r="142" spans="1:3">
      <c r="A142" s="20"/>
      <c r="B142" s="28" t="s">
        <v>124</v>
      </c>
      <c r="C142" s="21"/>
    </row>
    <row r="143" spans="1:3">
      <c r="A143" s="20"/>
      <c r="B143" s="28" t="s">
        <v>125</v>
      </c>
      <c r="C143" s="21"/>
    </row>
    <row r="144" spans="1:3">
      <c r="B144" s="23"/>
    </row>
    <row r="146" spans="2:12">
      <c r="B146" s="23"/>
      <c r="C146" s="23"/>
      <c r="D146" s="23"/>
      <c r="E146" s="23"/>
      <c r="F146" s="23"/>
      <c r="G146" s="23"/>
      <c r="H146" s="23"/>
      <c r="I146" s="23"/>
      <c r="J146" s="23"/>
      <c r="K146" s="23"/>
      <c r="L146" s="23"/>
    </row>
  </sheetData>
  <mergeCells count="43">
    <mergeCell ref="D28:J28"/>
    <mergeCell ref="D29:J29"/>
    <mergeCell ref="E53:I53"/>
    <mergeCell ref="E48:I48"/>
    <mergeCell ref="E49:I49"/>
    <mergeCell ref="E50:I50"/>
    <mergeCell ref="E51:I51"/>
    <mergeCell ref="E52:I52"/>
    <mergeCell ref="D40:J40"/>
    <mergeCell ref="D43:J43"/>
    <mergeCell ref="D36:J36"/>
    <mergeCell ref="D37:J37"/>
    <mergeCell ref="D38:J38"/>
    <mergeCell ref="D39:J39"/>
    <mergeCell ref="D30:J30"/>
    <mergeCell ref="D31:J31"/>
    <mergeCell ref="D32:J32"/>
    <mergeCell ref="D33:J33"/>
    <mergeCell ref="D35:J35"/>
    <mergeCell ref="D41:J41"/>
    <mergeCell ref="D42:J42"/>
    <mergeCell ref="K9:O9"/>
    <mergeCell ref="D25:J25"/>
    <mergeCell ref="E6:I6"/>
    <mergeCell ref="E7:I7"/>
    <mergeCell ref="E8:I8"/>
    <mergeCell ref="E9:I9"/>
    <mergeCell ref="E10:I10"/>
    <mergeCell ref="E13:I13"/>
    <mergeCell ref="E14:I14"/>
    <mergeCell ref="D26:J26"/>
    <mergeCell ref="D27:J27"/>
    <mergeCell ref="E19:I19"/>
    <mergeCell ref="E20:I20"/>
    <mergeCell ref="E21:I21"/>
    <mergeCell ref="E4:I4"/>
    <mergeCell ref="E18:I18"/>
    <mergeCell ref="E11:I11"/>
    <mergeCell ref="E12:I12"/>
    <mergeCell ref="E5:I5"/>
    <mergeCell ref="E15:I15"/>
    <mergeCell ref="E16:I16"/>
    <mergeCell ref="E17:I17"/>
  </mergeCells>
  <phoneticPr fontId="5" type="noConversion"/>
  <hyperlinks>
    <hyperlink ref="D32" r:id="rId1"/>
    <hyperlink ref="D33" r:id="rId2"/>
    <hyperlink ref="D36" r:id="rId3"/>
    <hyperlink ref="D37" r:id="rId4"/>
  </hyperlinks>
  <pageMargins left="0.75" right="0.75" top="1" bottom="1" header="0.5" footer="0.5"/>
  <pageSetup paperSize="9" orientation="portrait" r:id="rId5"/>
  <headerFooter alignWithMargins="0">
    <oddHeader>&amp;C&amp;A</oddHeader>
    <oddFooter>&amp;L&amp;Z&amp;F&amp;RPage &amp;P</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Baseline</vt:lpstr>
      <vt:lpstr>Opportunities</vt:lpstr>
      <vt:lpstr>Selected opps</vt:lpstr>
      <vt:lpstr>Ease-effect</vt:lpstr>
      <vt:lpstr>Graphs&amp;Analysis</vt:lpstr>
      <vt:lpstr>Export to CMPR</vt:lpstr>
      <vt:lpstr>References</vt:lpstr>
      <vt:lpstr>Building_Benchmarks</vt:lpstr>
      <vt:lpstr>Building_Type</vt:lpstr>
      <vt:lpstr>Opps_Selection</vt:lpstr>
      <vt:lpstr>YN</vt:lpstr>
    </vt:vector>
  </TitlesOfParts>
  <Company>ESD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 Administrator</dc:creator>
  <cp:lastModifiedBy>GRAHAM, Kate</cp:lastModifiedBy>
  <dcterms:created xsi:type="dcterms:W3CDTF">2009-04-29T10:53:57Z</dcterms:created>
  <dcterms:modified xsi:type="dcterms:W3CDTF">2013-08-13T10:23:51Z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-498822260</vt:i4>
  </property>
  <property fmtid="{D5CDD505-2E9C-101B-9397-08002B2CF9AE}" pid="4" name="_EmailSubject">
    <vt:lpwstr>[LUEG Carbon Reduction] #1 Meeting Notes &amp; Date of Next Meeting</vt:lpwstr>
  </property>
  <property fmtid="{D5CDD505-2E9C-101B-9397-08002B2CF9AE}" pid="5" name="_AuthorEmail">
    <vt:lpwstr>sara8@UEL-Exchange.uel.ac.uk</vt:lpwstr>
  </property>
  <property fmtid="{D5CDD505-2E9C-101B-9397-08002B2CF9AE}" pid="6" name="_AuthorEmailDisplayName">
    <vt:lpwstr>Sara Kassam</vt:lpwstr>
  </property>
  <property fmtid="{D5CDD505-2E9C-101B-9397-08002B2CF9AE}" pid="7" name="_ReviewingToolsShownOnce">
    <vt:lpwstr/>
  </property>
</Properties>
</file>